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231"/>
  <workbookPr codeName="ThisWorkbook" defaultThemeVersion="124226"/>
  <mc:AlternateContent xmlns:mc="http://schemas.openxmlformats.org/markup-compatibility/2006">
    <mc:Choice Requires="x15">
      <x15ac:absPath xmlns:x15ac="http://schemas.microsoft.com/office/spreadsheetml/2010/11/ac" url="G:\CFFM\Dev\cffm-web02\AgLease101 Recovery\"/>
    </mc:Choice>
  </mc:AlternateContent>
  <xr:revisionPtr revIDLastSave="0" documentId="8_{F85E20E9-3E78-4ED8-96F5-F7CC5E7262FB}" xr6:coauthVersionLast="45" xr6:coauthVersionMax="45" xr10:uidLastSave="{00000000-0000-0000-0000-000000000000}"/>
  <bookViews>
    <workbookView xWindow="2535" yWindow="540" windowWidth="21600" windowHeight="11325"/>
  </bookViews>
  <sheets>
    <sheet name="Intro" sheetId="9" r:id="rId1"/>
    <sheet name="General" sheetId="1" r:id="rId2"/>
    <sheet name="Sch A" sheetId="12" r:id="rId3"/>
    <sheet name="Sch B &amp; C" sheetId="2" r:id="rId4"/>
    <sheet name="Sch D" sheetId="3" r:id="rId5"/>
    <sheet name="Sch E" sheetId="4" r:id="rId6"/>
    <sheet name="Wksht 1" sheetId="5" r:id="rId7"/>
    <sheet name="Wksht 2" sheetId="6" r:id="rId8"/>
  </sheets>
  <definedNames>
    <definedName name="\0" localSheetId="2">#REF!</definedName>
    <definedName name="\0">#REF!</definedName>
    <definedName name="\H" localSheetId="2">#REF!</definedName>
    <definedName name="\H">#REF!</definedName>
    <definedName name="\M" localSheetId="2">#REF!</definedName>
    <definedName name="\M">#REF!</definedName>
    <definedName name="\O" localSheetId="2">#REF!</definedName>
    <definedName name="\O">#REF!</definedName>
    <definedName name="INPUT1">#REF!</definedName>
    <definedName name="INPUT2">#REF!</definedName>
    <definedName name="INPUT3">#REF!</definedName>
    <definedName name="INPUT4">#REF!</definedName>
    <definedName name="INTRO">#REF!</definedName>
    <definedName name="LOAN" localSheetId="2">#REF!</definedName>
    <definedName name="LOAN">#REF!</definedName>
    <definedName name="MACROS" localSheetId="2">#REF!</definedName>
    <definedName name="MACROS">#REF!</definedName>
    <definedName name="MENU" localSheetId="2">#REF!</definedName>
    <definedName name="MENU">#REF!</definedName>
    <definedName name="_xlnm.Print_Area">'Wksht 2'!$B$2:$H$53</definedName>
    <definedName name="_1REP_HEIFER0">#REF!</definedName>
    <definedName name="_2REP_HEIFER1">#REF!</definedName>
    <definedName name="_3REP_HEIFER2">#REF!</definedName>
    <definedName name="_4REP_HEIFER3">#REF!</definedName>
    <definedName name="RETURNS">#REF!</definedName>
    <definedName name="SUMMARY">#REF!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8" i="1" l="1"/>
  <c r="K17" i="1"/>
  <c r="K16" i="1"/>
  <c r="F18" i="12"/>
  <c r="E18" i="12" s="1"/>
  <c r="G17" i="12"/>
  <c r="J17" i="12"/>
  <c r="G16" i="12"/>
  <c r="K16" i="12" s="1"/>
  <c r="G15" i="12"/>
  <c r="K15" i="12" s="1"/>
  <c r="K18" i="12" s="1"/>
  <c r="G10" i="12"/>
  <c r="H10" i="12"/>
  <c r="G9" i="12"/>
  <c r="H9" i="12"/>
  <c r="G8" i="12"/>
  <c r="H8" i="12" s="1"/>
  <c r="G7" i="12"/>
  <c r="J7" i="12" s="1"/>
  <c r="G6" i="12"/>
  <c r="J6" i="12" s="1"/>
  <c r="F11" i="12"/>
  <c r="I11" i="12" s="1"/>
  <c r="I12" i="12" s="1"/>
  <c r="I17" i="12"/>
  <c r="K17" i="12"/>
  <c r="C18" i="12"/>
  <c r="C19" i="12" s="1"/>
  <c r="K12" i="1" s="1"/>
  <c r="H17" i="12"/>
  <c r="J16" i="12"/>
  <c r="D19" i="12"/>
  <c r="K14" i="1" s="1"/>
  <c r="K6" i="12"/>
  <c r="K10" i="12"/>
  <c r="I10" i="12"/>
  <c r="K9" i="12"/>
  <c r="K11" i="12" s="1"/>
  <c r="K12" i="12" s="1"/>
  <c r="H7" i="6" s="1"/>
  <c r="I9" i="12"/>
  <c r="K8" i="12"/>
  <c r="I8" i="12"/>
  <c r="I7" i="12"/>
  <c r="J10" i="12"/>
  <c r="J9" i="12"/>
  <c r="J8" i="12"/>
  <c r="I6" i="12"/>
  <c r="H6" i="12"/>
  <c r="G30" i="2"/>
  <c r="J30" i="2"/>
  <c r="G29" i="2"/>
  <c r="J29" i="2"/>
  <c r="G28" i="2"/>
  <c r="J28" i="2" s="1"/>
  <c r="G26" i="2"/>
  <c r="I26" i="2" s="1"/>
  <c r="G27" i="2"/>
  <c r="G25" i="2"/>
  <c r="G24" i="2"/>
  <c r="G6" i="2"/>
  <c r="G7" i="2"/>
  <c r="I7" i="2" s="1"/>
  <c r="G8" i="2"/>
  <c r="G9" i="2"/>
  <c r="G10" i="2"/>
  <c r="I10" i="2" s="1"/>
  <c r="G11" i="2"/>
  <c r="G12" i="2"/>
  <c r="G13" i="2"/>
  <c r="G14" i="2"/>
  <c r="G5" i="2"/>
  <c r="J5" i="2" s="1"/>
  <c r="J11" i="2"/>
  <c r="J9" i="2"/>
  <c r="J7" i="2"/>
  <c r="K49" i="1"/>
  <c r="D32" i="2"/>
  <c r="F26" i="5"/>
  <c r="F27" i="5" s="1"/>
  <c r="H19" i="4"/>
  <c r="K47" i="1"/>
  <c r="G36" i="3"/>
  <c r="G32" i="3"/>
  <c r="G28" i="3"/>
  <c r="G24" i="3"/>
  <c r="G15" i="3"/>
  <c r="D34" i="6"/>
  <c r="D33" i="6"/>
  <c r="H34" i="6"/>
  <c r="F135" i="5"/>
  <c r="D135" i="5"/>
  <c r="I25" i="1"/>
  <c r="J25" i="1"/>
  <c r="J24" i="1" s="1"/>
  <c r="F124" i="5"/>
  <c r="E14" i="3"/>
  <c r="E15" i="3" s="1"/>
  <c r="H15" i="3" s="1"/>
  <c r="G32" i="1" s="1"/>
  <c r="K32" i="1" s="1"/>
  <c r="F125" i="5"/>
  <c r="E36" i="3"/>
  <c r="K37" i="1"/>
  <c r="G30" i="5"/>
  <c r="G31" i="5"/>
  <c r="G131" i="5"/>
  <c r="H131" i="5" s="1"/>
  <c r="F131" i="5"/>
  <c r="G32" i="5"/>
  <c r="G132" i="5"/>
  <c r="H132" i="5" s="1"/>
  <c r="F132" i="5"/>
  <c r="I132" i="5" s="1"/>
  <c r="G33" i="5"/>
  <c r="G133" i="5"/>
  <c r="F133" i="5"/>
  <c r="G14" i="5"/>
  <c r="G114" i="5"/>
  <c r="F114" i="5"/>
  <c r="I114" i="5" s="1"/>
  <c r="G18" i="5"/>
  <c r="G118" i="5"/>
  <c r="I118" i="5" s="1"/>
  <c r="F118" i="5"/>
  <c r="G36" i="5"/>
  <c r="G136" i="5"/>
  <c r="H136" i="5" s="1"/>
  <c r="F136" i="5"/>
  <c r="E24" i="3"/>
  <c r="F126" i="5"/>
  <c r="E28" i="3"/>
  <c r="E32" i="3"/>
  <c r="F134" i="5"/>
  <c r="G34" i="5"/>
  <c r="G134" i="5"/>
  <c r="I134" i="5" s="1"/>
  <c r="G38" i="5"/>
  <c r="G138" i="5" s="1"/>
  <c r="H138" i="5" s="1"/>
  <c r="F138" i="5"/>
  <c r="F109" i="5"/>
  <c r="F110" i="5"/>
  <c r="F112" i="5"/>
  <c r="H6" i="2"/>
  <c r="I12" i="2"/>
  <c r="H13" i="2"/>
  <c r="I14" i="2"/>
  <c r="F13" i="5"/>
  <c r="F113" i="5" s="1"/>
  <c r="J6" i="2"/>
  <c r="J13" i="2"/>
  <c r="F116" i="5"/>
  <c r="I24" i="2"/>
  <c r="I34" i="2" s="1"/>
  <c r="H24" i="2"/>
  <c r="I25" i="2"/>
  <c r="H25" i="2"/>
  <c r="I27" i="2"/>
  <c r="H27" i="2"/>
  <c r="F17" i="5"/>
  <c r="F117" i="5" s="1"/>
  <c r="J24" i="2"/>
  <c r="J25" i="2"/>
  <c r="J27" i="2"/>
  <c r="D35" i="5"/>
  <c r="J27" i="1"/>
  <c r="H17" i="4"/>
  <c r="H24" i="4" s="1"/>
  <c r="H18" i="4"/>
  <c r="B4" i="5"/>
  <c r="B104" i="5"/>
  <c r="D36" i="5"/>
  <c r="D136" i="5"/>
  <c r="H29" i="6"/>
  <c r="H30" i="6"/>
  <c r="H31" i="6"/>
  <c r="H32" i="6"/>
  <c r="I13" i="2"/>
  <c r="I6" i="2"/>
  <c r="J14" i="2"/>
  <c r="J12" i="2"/>
  <c r="H14" i="2"/>
  <c r="H12" i="2"/>
  <c r="I30" i="2"/>
  <c r="H30" i="2"/>
  <c r="I29" i="2"/>
  <c r="H29" i="2"/>
  <c r="I28" i="2"/>
  <c r="H28" i="2"/>
  <c r="J8" i="2"/>
  <c r="I11" i="2"/>
  <c r="H11" i="2"/>
  <c r="I9" i="2"/>
  <c r="H9" i="2"/>
  <c r="I8" i="2"/>
  <c r="H8" i="2"/>
  <c r="H7" i="2"/>
  <c r="H134" i="5"/>
  <c r="H118" i="5"/>
  <c r="I131" i="5"/>
  <c r="G18" i="12"/>
  <c r="G19" i="12"/>
  <c r="J15" i="12"/>
  <c r="J18" i="12" s="1"/>
  <c r="I16" i="12"/>
  <c r="H16" i="12"/>
  <c r="K7" i="12"/>
  <c r="D12" i="12"/>
  <c r="K11" i="1" s="1"/>
  <c r="G11" i="12"/>
  <c r="G12" i="12" s="1"/>
  <c r="C11" i="12"/>
  <c r="C12" i="12" s="1"/>
  <c r="K9" i="1" s="1"/>
  <c r="H5" i="4" s="1"/>
  <c r="D17" i="2"/>
  <c r="E11" i="12"/>
  <c r="E12" i="12" s="1"/>
  <c r="K10" i="1" s="1"/>
  <c r="G20" i="12"/>
  <c r="F20" i="12"/>
  <c r="F15" i="3" s="1"/>
  <c r="H36" i="6"/>
  <c r="H133" i="5"/>
  <c r="I133" i="5"/>
  <c r="D33" i="2"/>
  <c r="H9" i="3"/>
  <c r="I29" i="1"/>
  <c r="H8" i="4" s="1"/>
  <c r="F36" i="3"/>
  <c r="H36" i="3"/>
  <c r="G36" i="1" s="1"/>
  <c r="K36" i="1" s="1"/>
  <c r="G29" i="5" s="1"/>
  <c r="F28" i="3"/>
  <c r="H28" i="3"/>
  <c r="G34" i="1"/>
  <c r="K34" i="1"/>
  <c r="G27" i="5" s="1"/>
  <c r="K15" i="1"/>
  <c r="K48" i="1" s="1"/>
  <c r="F32" i="3"/>
  <c r="H32" i="3" s="1"/>
  <c r="G35" i="1" s="1"/>
  <c r="K35" i="1" s="1"/>
  <c r="F24" i="3"/>
  <c r="H24" i="3"/>
  <c r="G33" i="1"/>
  <c r="K33" i="1"/>
  <c r="G26" i="5"/>
  <c r="G126" i="5" s="1"/>
  <c r="H126" i="5" s="1"/>
  <c r="H8" i="3"/>
  <c r="J19" i="12" l="1"/>
  <c r="J20" i="12"/>
  <c r="H28" i="6"/>
  <c r="G28" i="5"/>
  <c r="K52" i="1"/>
  <c r="H33" i="6"/>
  <c r="G35" i="5"/>
  <c r="K20" i="12"/>
  <c r="H10" i="6" s="1"/>
  <c r="K19" i="12"/>
  <c r="J11" i="12"/>
  <c r="J12" i="12" s="1"/>
  <c r="H6" i="6" s="1"/>
  <c r="I126" i="5"/>
  <c r="K38" i="1"/>
  <c r="H27" i="6"/>
  <c r="G25" i="5"/>
  <c r="F127" i="5"/>
  <c r="F28" i="5"/>
  <c r="G127" i="5"/>
  <c r="H127" i="5" s="1"/>
  <c r="I127" i="5"/>
  <c r="E19" i="12"/>
  <c r="K13" i="1" s="1"/>
  <c r="E20" i="12"/>
  <c r="H26" i="4"/>
  <c r="H14" i="6"/>
  <c r="H22" i="6"/>
  <c r="I138" i="5"/>
  <c r="F26" i="1"/>
  <c r="K29" i="1"/>
  <c r="F22" i="12"/>
  <c r="C20" i="12"/>
  <c r="I136" i="5"/>
  <c r="I5" i="2"/>
  <c r="I18" i="2" s="1"/>
  <c r="D18" i="2"/>
  <c r="G18" i="2" s="1"/>
  <c r="H6" i="4" s="1"/>
  <c r="H9" i="4" s="1"/>
  <c r="H11" i="4" s="1"/>
  <c r="H5" i="2"/>
  <c r="D34" i="2"/>
  <c r="G34" i="2" s="1"/>
  <c r="H7" i="4" s="1"/>
  <c r="J10" i="2"/>
  <c r="J18" i="2" s="1"/>
  <c r="I15" i="12"/>
  <c r="I18" i="12" s="1"/>
  <c r="H114" i="5"/>
  <c r="H26" i="2"/>
  <c r="H34" i="2" s="1"/>
  <c r="G16" i="5" s="1"/>
  <c r="H15" i="12"/>
  <c r="H18" i="12" s="1"/>
  <c r="H7" i="12"/>
  <c r="H11" i="12" s="1"/>
  <c r="H12" i="12" s="1"/>
  <c r="H5" i="6" s="1"/>
  <c r="J26" i="2"/>
  <c r="J34" i="2" s="1"/>
  <c r="G17" i="5" s="1"/>
  <c r="H10" i="2"/>
  <c r="G117" i="5" l="1"/>
  <c r="G116" i="5"/>
  <c r="G24" i="5"/>
  <c r="H26" i="6"/>
  <c r="G125" i="5"/>
  <c r="I22" i="12"/>
  <c r="I23" i="12" s="1"/>
  <c r="H22" i="12"/>
  <c r="H23" i="12" s="1"/>
  <c r="J22" i="12"/>
  <c r="J23" i="12" s="1"/>
  <c r="E23" i="12"/>
  <c r="G22" i="12"/>
  <c r="G23" i="12"/>
  <c r="C22" i="12"/>
  <c r="C23" i="12" s="1"/>
  <c r="K22" i="12"/>
  <c r="K23" i="12" s="1"/>
  <c r="E22" i="12"/>
  <c r="G135" i="5"/>
  <c r="H18" i="2"/>
  <c r="G12" i="5" s="1"/>
  <c r="H19" i="12"/>
  <c r="H20" i="12"/>
  <c r="I20" i="12"/>
  <c r="H9" i="6" s="1"/>
  <c r="I19" i="12"/>
  <c r="G13" i="5"/>
  <c r="F128" i="5"/>
  <c r="I128" i="5" s="1"/>
  <c r="G128" i="5"/>
  <c r="H128" i="5" s="1"/>
  <c r="F29" i="5"/>
  <c r="G9" i="5"/>
  <c r="G37" i="5" l="1"/>
  <c r="G124" i="5"/>
  <c r="G109" i="5"/>
  <c r="H135" i="5"/>
  <c r="I135" i="5"/>
  <c r="H116" i="5"/>
  <c r="I116" i="5"/>
  <c r="G112" i="5"/>
  <c r="F30" i="5"/>
  <c r="H129" i="5"/>
  <c r="G129" i="5"/>
  <c r="F129" i="5"/>
  <c r="I129" i="5" s="1"/>
  <c r="H117" i="5"/>
  <c r="I117" i="5"/>
  <c r="G113" i="5"/>
  <c r="G10" i="5"/>
  <c r="H8" i="6"/>
  <c r="H11" i="6" s="1"/>
  <c r="H45" i="6" s="1"/>
  <c r="I125" i="5"/>
  <c r="H125" i="5"/>
  <c r="H109" i="5" l="1"/>
  <c r="I109" i="5"/>
  <c r="G110" i="5"/>
  <c r="I124" i="5"/>
  <c r="H124" i="5"/>
  <c r="G137" i="5"/>
  <c r="G139" i="5" s="1"/>
  <c r="F130" i="5"/>
  <c r="I130" i="5" s="1"/>
  <c r="H130" i="5"/>
  <c r="G130" i="5"/>
  <c r="I112" i="5"/>
  <c r="H112" i="5"/>
  <c r="H113" i="5"/>
  <c r="I113" i="5"/>
  <c r="G45" i="5" l="1"/>
  <c r="G140" i="5"/>
  <c r="I137" i="5"/>
  <c r="H110" i="5"/>
  <c r="I110" i="5"/>
  <c r="I139" i="5" s="1"/>
  <c r="H137" i="5"/>
  <c r="H139" i="5" s="1"/>
  <c r="H45" i="5" l="1"/>
  <c r="H140" i="5"/>
  <c r="I140" i="5"/>
  <c r="I45" i="5"/>
  <c r="G46" i="5"/>
  <c r="G47" i="5" s="1"/>
  <c r="G49" i="5"/>
  <c r="I49" i="5" l="1"/>
  <c r="E15" i="6" s="1"/>
  <c r="H15" i="6" s="1"/>
  <c r="I32" i="5"/>
  <c r="I33" i="5"/>
  <c r="I18" i="5"/>
  <c r="I14" i="5"/>
  <c r="I36" i="5"/>
  <c r="I31" i="5"/>
  <c r="I34" i="5"/>
  <c r="I38" i="5"/>
  <c r="I27" i="5"/>
  <c r="I26" i="5"/>
  <c r="I16" i="5"/>
  <c r="I17" i="5"/>
  <c r="I25" i="5"/>
  <c r="I35" i="5"/>
  <c r="I28" i="5"/>
  <c r="I13" i="5"/>
  <c r="I24" i="5"/>
  <c r="I12" i="5"/>
  <c r="I29" i="5"/>
  <c r="I9" i="5"/>
  <c r="I10" i="5"/>
  <c r="I30" i="5"/>
  <c r="H14" i="5"/>
  <c r="H32" i="5"/>
  <c r="H38" i="5"/>
  <c r="H36" i="5"/>
  <c r="H33" i="5"/>
  <c r="H31" i="5"/>
  <c r="H34" i="5"/>
  <c r="H18" i="5"/>
  <c r="H27" i="5"/>
  <c r="H26" i="5"/>
  <c r="H17" i="5"/>
  <c r="H25" i="5"/>
  <c r="H16" i="5"/>
  <c r="H25" i="6" s="1"/>
  <c r="H35" i="5"/>
  <c r="H28" i="5"/>
  <c r="H29" i="5"/>
  <c r="H24" i="5"/>
  <c r="H9" i="5"/>
  <c r="H12" i="5"/>
  <c r="H24" i="6" s="1"/>
  <c r="H13" i="5"/>
  <c r="H10" i="5"/>
  <c r="H30" i="5"/>
  <c r="H49" i="5"/>
  <c r="I37" i="5" l="1"/>
  <c r="I46" i="5" s="1"/>
  <c r="H37" i="5"/>
  <c r="H46" i="5" s="1"/>
  <c r="H47" i="5" s="1"/>
  <c r="H35" i="6"/>
  <c r="H37" i="6" s="1"/>
  <c r="H39" i="6" s="1"/>
  <c r="H49" i="6" s="1"/>
  <c r="H16" i="6" l="1"/>
  <c r="H17" i="6" s="1"/>
  <c r="I47" i="5"/>
  <c r="H18" i="6" l="1"/>
  <c r="H19" i="6"/>
  <c r="H47" i="6" s="1"/>
  <c r="H51" i="6" s="1"/>
</calcChain>
</file>

<file path=xl/sharedStrings.xml><?xml version="1.0" encoding="utf-8"?>
<sst xmlns="http://schemas.openxmlformats.org/spreadsheetml/2006/main" count="352" uniqueCount="231">
  <si>
    <t>BREEDING HERD INFORMATION:</t>
  </si>
  <si>
    <t>REPLACEMENT FEMALES (enter number of method used):</t>
  </si>
  <si>
    <t>Purchased or raised outside of lease = 1</t>
  </si>
  <si>
    <t>Raised within the terms of the lease = 2</t>
  </si>
  <si>
    <t>Market value of cow, $/hd</t>
  </si>
  <si>
    <t>Cow salvage value, $/hd</t>
  </si>
  <si>
    <t>Useful life of cows</t>
  </si>
  <si>
    <t>Market value of bull, $/hd</t>
  </si>
  <si>
    <t>Bull salvage value, $/hd</t>
  </si>
  <si>
    <t>Useful life of bull</t>
  </si>
  <si>
    <t>Number of cows per bull</t>
  </si>
  <si>
    <t>Interest charge on breeding herd, %</t>
  </si>
  <si>
    <t>Taxes &amp; insurance on breeding herd, %</t>
  </si>
  <si>
    <t>Death loss for breeding herd, %</t>
  </si>
  <si>
    <t>PASTURE AND FEED EXPENSES/COW UNIT:</t>
  </si>
  <si>
    <t>Pasture land value per acre</t>
  </si>
  <si>
    <t>Rate of return on pasture, %</t>
  </si>
  <si>
    <t>Real estate taxes per acre</t>
  </si>
  <si>
    <t xml:space="preserve">  or</t>
  </si>
  <si>
    <t>Cash rent for pasture per acre</t>
  </si>
  <si>
    <t>Total</t>
  </si>
  <si>
    <t>Acres of pasture required</t>
  </si>
  <si>
    <t>Forage/feed</t>
  </si>
  <si>
    <t>Fed/cow unit</t>
  </si>
  <si>
    <t>Value</t>
  </si>
  <si>
    <t xml:space="preserve">   Hay</t>
  </si>
  <si>
    <t>/ton</t>
  </si>
  <si>
    <t xml:space="preserve">   Silage</t>
  </si>
  <si>
    <t xml:space="preserve">   Crop residue</t>
  </si>
  <si>
    <t xml:space="preserve">   Grain</t>
  </si>
  <si>
    <t>/lb</t>
  </si>
  <si>
    <t xml:space="preserve">   Protein</t>
  </si>
  <si>
    <t xml:space="preserve">   Salt &amp; mineral</t>
  </si>
  <si>
    <t>/cwt</t>
  </si>
  <si>
    <t>Total forage and feed cost</t>
  </si>
  <si>
    <t>OTHER OPERATING EXPENSES/COW UNIT:</t>
  </si>
  <si>
    <t>Veterinary, drugs, supplies, etc.</t>
  </si>
  <si>
    <t>Fuel &amp; oil for feeding, hauling, etc.</t>
  </si>
  <si>
    <t>Utilities and miscellaneous</t>
  </si>
  <si>
    <t>Repairs on machinery and equipment</t>
  </si>
  <si>
    <t>Repairs on buildings and fences</t>
  </si>
  <si>
    <t>Labor -</t>
  </si>
  <si>
    <t>hours at</t>
  </si>
  <si>
    <t>/hour</t>
  </si>
  <si>
    <t>Other (specify) -</t>
  </si>
  <si>
    <t>Interest charge on operating expenses, %</t>
  </si>
  <si>
    <t>Total other operating expenses</t>
  </si>
  <si>
    <t>Salvage</t>
  </si>
  <si>
    <t>ITEM</t>
  </si>
  <si>
    <t>Depreciation</t>
  </si>
  <si>
    <t>Interest</t>
  </si>
  <si>
    <t xml:space="preserve">  Total machinery/equipment</t>
  </si>
  <si>
    <t>Taxes &amp; insurance on machinery, %</t>
  </si>
  <si>
    <t>Interest charge on machinery, %</t>
  </si>
  <si>
    <t>Number of cows</t>
  </si>
  <si>
    <t>TOTAL INVESTMENT</t>
  </si>
  <si>
    <t>Total buildings, etc.</t>
  </si>
  <si>
    <t>Taxes &amp; insurance on structures, %</t>
  </si>
  <si>
    <t>Interest charge on structures, %</t>
  </si>
  <si>
    <t>Replacement rate, %</t>
  </si>
  <si>
    <t>Acres per bull</t>
  </si>
  <si>
    <t>Cows per bull</t>
  </si>
  <si>
    <t>Total pasture acres per cow unit</t>
  </si>
  <si>
    <t>Replacement</t>
  </si>
  <si>
    <t>Cow</t>
  </si>
  <si>
    <t>Bull</t>
  </si>
  <si>
    <t>Heifer*</t>
  </si>
  <si>
    <t>Hay fed, lbs/day</t>
  </si>
  <si>
    <t>Days fed</t>
  </si>
  <si>
    <t>Total hay fed/cow unit, lbs.</t>
  </si>
  <si>
    <t>Silage fed, lbs/day</t>
  </si>
  <si>
    <t>Total silage fed/cow unit, lbs.</t>
  </si>
  <si>
    <t>Crop residue fed/grazed, lbs/day</t>
  </si>
  <si>
    <t>Days fed/grazed</t>
  </si>
  <si>
    <t>Total grazed fed/cow unit, lbs.</t>
  </si>
  <si>
    <t>Grain fed, lbs/day</t>
  </si>
  <si>
    <t>Total grain fed/cow unit, lbs.</t>
  </si>
  <si>
    <t>Protein fed, lbs/day</t>
  </si>
  <si>
    <t>Total protein fed/cow unit, lbs.</t>
  </si>
  <si>
    <t>Method 1:  Capital managed</t>
  </si>
  <si>
    <t>Breeding herd investment/cow unit</t>
  </si>
  <si>
    <t>Machinery and equipment investment</t>
  </si>
  <si>
    <t>Building and fence investment</t>
  </si>
  <si>
    <t>Value of pasture managed</t>
  </si>
  <si>
    <t>TOTAL CAPITAL MANAGED</t>
  </si>
  <si>
    <t>Management charge (typically 0.5% to 1.0%)</t>
  </si>
  <si>
    <t>Management charge/cow</t>
  </si>
  <si>
    <t>Method 2:  Value of production</t>
  </si>
  <si>
    <t>Percent calf crop in typical year*</t>
  </si>
  <si>
    <t>Percent culling rate in typical year**</t>
  </si>
  <si>
    <t>Value of production/cow</t>
  </si>
  <si>
    <t>Management charge (typically 5% to 10%)</t>
  </si>
  <si>
    <t>* Total calf crop - include heifers held back for replacement.</t>
  </si>
  <si>
    <t>** Enter percent ONLY IF cull income is shared, otherwise enter 0.</t>
  </si>
  <si>
    <t>Worksheet 1.  Beef Cow Share Lease Agreement Worksheet - Per Cow</t>
  </si>
  <si>
    <t>Operator</t>
  </si>
  <si>
    <t>Owner</t>
  </si>
  <si>
    <t>Share*</t>
  </si>
  <si>
    <t>Livestock Investment:</t>
  </si>
  <si>
    <t>Cows</t>
  </si>
  <si>
    <t>Bull(s)</t>
  </si>
  <si>
    <t>Machinery and equipment:</t>
  </si>
  <si>
    <t>Machinery and equipment</t>
  </si>
  <si>
    <t>Interest, taxes and ins.</t>
  </si>
  <si>
    <t>Repairs</t>
  </si>
  <si>
    <t>Buildings and fences:</t>
  </si>
  <si>
    <t>Buildings and fences</t>
  </si>
  <si>
    <t>* Enter operator's contribution (%), if shared equitably enter -1.</t>
  </si>
  <si>
    <t xml:space="preserve"> Share*</t>
  </si>
  <si>
    <t>Pasture</t>
  </si>
  <si>
    <t>Hay</t>
  </si>
  <si>
    <t>Silage</t>
  </si>
  <si>
    <t>Crop residue</t>
  </si>
  <si>
    <t>Grain</t>
  </si>
  <si>
    <t>Protein</t>
  </si>
  <si>
    <t>Salt and minerals</t>
  </si>
  <si>
    <t>Vet, drugs, supplies, etc.</t>
  </si>
  <si>
    <t>Fuel &amp; oil</t>
  </si>
  <si>
    <t>Labor</t>
  </si>
  <si>
    <t>Other -</t>
  </si>
  <si>
    <t>Operating interest</t>
  </si>
  <si>
    <t>------</t>
  </si>
  <si>
    <t>Management**</t>
  </si>
  <si>
    <t>Management</t>
  </si>
  <si>
    <t>Total nonshared contributions</t>
  </si>
  <si>
    <t>Shared expenses</t>
  </si>
  <si>
    <t>Total costs</t>
  </si>
  <si>
    <t>Contribution percentages***</t>
  </si>
  <si>
    <t>*** Equitable split for income and expenses that are shared.</t>
  </si>
  <si>
    <t>Worksheet 2.  Beef Cow Cash Lease Worksheet - Per Cow</t>
  </si>
  <si>
    <t>Method 1.  Livestock ownership cost</t>
  </si>
  <si>
    <t>Depreciation on cow</t>
  </si>
  <si>
    <t>Interest, taxes, and insurance on cow</t>
  </si>
  <si>
    <t>Insurance/death loss on cow</t>
  </si>
  <si>
    <t>Depreciation on bull/cow</t>
  </si>
  <si>
    <t>Interest, taxes, and insurance on bull/cow</t>
  </si>
  <si>
    <t>Insurance/death loss on bull/cow</t>
  </si>
  <si>
    <t>Cash rent per cow</t>
  </si>
  <si>
    <t>Method 2.  Livestock owner's net share rent</t>
  </si>
  <si>
    <t>Owner's equitable share</t>
  </si>
  <si>
    <t>Less equitably shared expenses</t>
  </si>
  <si>
    <t>Net share rent</t>
  </si>
  <si>
    <t>Less reduction for risk, %</t>
  </si>
  <si>
    <t>Method 3.  Operator net return to livestock</t>
  </si>
  <si>
    <t>Less costs</t>
  </si>
  <si>
    <t>Hay/silage/crop residue</t>
  </si>
  <si>
    <t>Grain/protein/salt and mineral</t>
  </si>
  <si>
    <t>Management charge</t>
  </si>
  <si>
    <t>Available for cash rent per cow</t>
  </si>
  <si>
    <t>Worksheet 2.  Beef Cow Cash Lease Per Cow - SUMMARY</t>
  </si>
  <si>
    <t>Average of the three methods</t>
  </si>
  <si>
    <t>** Enter method: Capital managed=1, Value of prod.=2, Average=3, or No charge=4.</t>
  </si>
  <si>
    <t>Utilities</t>
  </si>
  <si>
    <t>Other  -----</t>
  </si>
  <si>
    <t>Extension Agricultural Economist</t>
  </si>
  <si>
    <t>Kansas State University</t>
  </si>
  <si>
    <t>INPUTS vs CALCULATED VALUES</t>
  </si>
  <si>
    <t>DESCRIPTION OF INPUTS</t>
  </si>
  <si>
    <t>COMPANION PUBLICATIONS</t>
  </si>
  <si>
    <t>voice:  (785) 532-3527</t>
  </si>
  <si>
    <t>FAX:    (785) 532-6925</t>
  </si>
  <si>
    <t>email:  kcd@ksu.edu</t>
  </si>
  <si>
    <t>website:  www.agmanager.info</t>
  </si>
  <si>
    <t>* Do not include for replacement females if they are purchased or raised outside of the lease.</t>
  </si>
  <si>
    <t>Steer calves</t>
  </si>
  <si>
    <t>Heifer calves</t>
  </si>
  <si>
    <t>Cull cows</t>
  </si>
  <si>
    <t>Bull soundness exam</t>
  </si>
  <si>
    <t>Misc and professional fees</t>
  </si>
  <si>
    <t>Acres per cow/calf pair</t>
  </si>
  <si>
    <t>Acres per replacement heifer*</t>
  </si>
  <si>
    <t>TOTAL</t>
  </si>
  <si>
    <t>cows</t>
  </si>
  <si>
    <r>
      <t xml:space="preserve">In the various sheets all </t>
    </r>
    <r>
      <rPr>
        <sz val="11"/>
        <color indexed="12"/>
        <rFont val="Calibri"/>
        <family val="2"/>
      </rPr>
      <t>blue</t>
    </r>
    <r>
      <rPr>
        <sz val="11"/>
        <rFont val="Calibri"/>
        <family val="2"/>
      </rPr>
      <t xml:space="preserve"> numbers are inputs and all black numbers are calculated from these inputs.  The spreadsheet automatically recalculates every time an additional input is entered.  Thus, it is important to wait until all data have been entered and reviewed before interpreting any of the calculated results (i.e., black numbers).</t>
    </r>
  </si>
  <si>
    <t>% to beef</t>
  </si>
  <si>
    <t>Beginning</t>
  </si>
  <si>
    <t>value</t>
  </si>
  <si>
    <t>Useful</t>
  </si>
  <si>
    <t>life, years</t>
  </si>
  <si>
    <t>Total to</t>
  </si>
  <si>
    <t>beef cows</t>
  </si>
  <si>
    <t>Annual</t>
  </si>
  <si>
    <t>insurance</t>
  </si>
  <si>
    <t>Taxes &amp;</t>
  </si>
  <si>
    <t>PER COW ==&gt;</t>
  </si>
  <si>
    <t>Schedule A:  Breeding herd investment</t>
  </si>
  <si>
    <t>Number</t>
  </si>
  <si>
    <t>value, %</t>
  </si>
  <si>
    <t>Value, $</t>
  </si>
  <si>
    <t>Young cows</t>
  </si>
  <si>
    <t>value, $/hd</t>
  </si>
  <si>
    <t>Middle age cows</t>
  </si>
  <si>
    <t>Older cows</t>
  </si>
  <si>
    <t>COWS</t>
  </si>
  <si>
    <t>BULLS</t>
  </si>
  <si>
    <t>Yearlings</t>
  </si>
  <si>
    <t>Older bulls</t>
  </si>
  <si>
    <t>Interest charge on breeding stock, %</t>
  </si>
  <si>
    <t>investment</t>
  </si>
  <si>
    <t>Death</t>
  </si>
  <si>
    <t>loss</t>
  </si>
  <si>
    <t>Per cow</t>
  </si>
  <si>
    <t>Per bull</t>
  </si>
  <si>
    <t>Total cows</t>
  </si>
  <si>
    <t>Total bulls</t>
  </si>
  <si>
    <t>PER COW UNIT</t>
  </si>
  <si>
    <t>Schedule B:  Livestock machinery and equipment investment</t>
  </si>
  <si>
    <t>Schedule C:  Livestock and feed storage buildings and fences</t>
  </si>
  <si>
    <t>Schedule D:  Pasture acres and feed amounts per cow unit</t>
  </si>
  <si>
    <t>Schedule E:  Estimated Management Charge</t>
  </si>
  <si>
    <t>LIVESTOCK INVESTMENT (Schedule A):</t>
  </si>
  <si>
    <t>Calculations for determining equitable shares</t>
  </si>
  <si>
    <t>voice:  (405) 744-9813</t>
  </si>
  <si>
    <t>Oklahoma State University</t>
  </si>
  <si>
    <t>FAX:    (405) 744-8210</t>
  </si>
  <si>
    <t>email:  damona.doye@okstate.edu</t>
  </si>
  <si>
    <t>DEVELOPED BY:</t>
  </si>
  <si>
    <t>website:  http://agecon.okstate.edu/extension</t>
  </si>
  <si>
    <t>Kevin C. Dhuyvetter, PhD</t>
  </si>
  <si>
    <t>Damona Doye, PhD</t>
  </si>
  <si>
    <t>Weight</t>
  </si>
  <si>
    <t>lbs/head</t>
  </si>
  <si>
    <t>Price</t>
  </si>
  <si>
    <t>$/cwt</t>
  </si>
  <si>
    <t>$/head</t>
  </si>
  <si>
    <r>
      <t xml:space="preserve">The North Central Farm Management Extension Committee (NCFMEC) bulletin titled </t>
    </r>
    <r>
      <rPr>
        <b/>
        <i/>
        <sz val="11"/>
        <rFont val="Calibri"/>
        <family val="2"/>
      </rPr>
      <t>Beef Cow Rental Arrangements For Your Farm (NCFMEC-06)</t>
    </r>
    <r>
      <rPr>
        <sz val="11"/>
        <rFont val="Calibri"/>
        <family val="2"/>
      </rPr>
      <t xml:space="preserve"> serves as a "users guide" and provides a brief overview of this spreadsheet.  </t>
    </r>
  </si>
  <si>
    <t>Version -- 1.20.13</t>
  </si>
  <si>
    <t>This spreadsheet was developed as a decision-aid tool based on the principles of equitable leases outlined in several publications that can be found on the K-State and Oklahoma State Ag Econ departmental websites.  Additionally, the budget format of this spreadsheet was designed to follow that of the K-State Farm Management Guide cow-calf budget (MF-266), which is also available on the Ag Econ website (www.AgManager.info), so it can also be a useful resource when analyzing leasing alternatives.</t>
  </si>
  <si>
    <t>Copyright 2013 by Dhuyvetter and Doye.  All rights reserved.</t>
  </si>
  <si>
    <r>
      <rPr>
        <b/>
        <i/>
        <sz val="12"/>
        <rFont val="Calibri"/>
        <family val="2"/>
      </rPr>
      <t>KSU-BeefCowLease.xls</t>
    </r>
    <r>
      <rPr>
        <b/>
        <sz val="12"/>
        <rFont val="Calibri"/>
        <family val="2"/>
      </rPr>
      <t xml:space="preserve"> --- A spreadsheet budgeting program to determine equitable</t>
    </r>
  </si>
  <si>
    <t xml:space="preserve">          share lease rental arrangements for beef cowherds.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</si>
</sst>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
    <numFmt numFmtId="165" formatCode="0.0%"/>
    <numFmt numFmtId="166" formatCode="&quot;$&quot;#,##0"/>
    <numFmt numFmtId="167" formatCode="&quot;$&quot;#,##0.00"/>
    <numFmt numFmtId="168" formatCode="0.0"/>
    <numFmt numFmtId="169" formatCode="&quot;$&quot;#,##0.0000"/>
    <numFmt numFmtId="170" formatCode="#,##0.0"/>
  </numFmts>
  <fonts count="25">
    <font>
      <sz val="12"/>
      <name val="Arial"/>
    </font>
    <font>
      <sz val="10"/>
      <name val="Arial"/>
      <family val="2"/>
    </font>
    <font>
      <sz val="8"/>
      <name val="Arial"/>
      <family val="2"/>
    </font>
    <font>
      <sz val="10"/>
      <name val="TimesNewRomanPS"/>
    </font>
    <font>
      <sz val="12"/>
      <name val="Arial"/>
      <family val="2"/>
    </font>
    <font>
      <u/>
      <sz val="14.4"/>
      <color indexed="12"/>
      <name val="Arial"/>
      <family val="2"/>
    </font>
    <font>
      <sz val="12"/>
      <name val="Arial MT"/>
    </font>
    <font>
      <u/>
      <sz val="10"/>
      <color indexed="12"/>
      <name val="Arial"/>
      <family val="2"/>
    </font>
    <font>
      <sz val="11"/>
      <name val="Calibri"/>
      <family val="2"/>
    </font>
    <font>
      <sz val="11"/>
      <color indexed="12"/>
      <name val="Calibri"/>
      <family val="2"/>
    </font>
    <font>
      <b/>
      <i/>
      <sz val="11"/>
      <name val="Calibri"/>
      <family val="2"/>
    </font>
    <font>
      <b/>
      <sz val="12"/>
      <name val="Calibri"/>
      <family val="2"/>
    </font>
    <font>
      <b/>
      <i/>
      <sz val="12"/>
      <name val="Calibri"/>
      <family val="2"/>
    </font>
    <font>
      <sz val="11"/>
      <color indexed="8"/>
      <name val="Calibri"/>
      <family val="2"/>
      <scheme val="minor"/>
    </font>
    <font>
      <sz val="11"/>
      <name val="Calibri"/>
      <family val="2"/>
      <scheme val="minor"/>
    </font>
    <font>
      <b/>
      <sz val="11"/>
      <name val="Calibri"/>
      <family val="2"/>
      <scheme val="minor"/>
    </font>
    <font>
      <b/>
      <sz val="12"/>
      <name val="Calibri"/>
      <family val="2"/>
      <scheme val="minor"/>
    </font>
    <font>
      <b/>
      <i/>
      <sz val="11"/>
      <name val="Calibri"/>
      <family val="2"/>
      <scheme val="minor"/>
    </font>
    <font>
      <b/>
      <u/>
      <sz val="11"/>
      <name val="Calibri"/>
      <family val="2"/>
      <scheme val="minor"/>
    </font>
    <font>
      <u/>
      <sz val="11"/>
      <color indexed="12"/>
      <name val="Calibri"/>
      <family val="2"/>
      <scheme val="minor"/>
    </font>
    <font>
      <sz val="11"/>
      <color indexed="12"/>
      <name val="Calibri"/>
      <family val="2"/>
      <scheme val="minor"/>
    </font>
    <font>
      <b/>
      <sz val="12"/>
      <color indexed="8"/>
      <name val="Calibri"/>
      <family val="2"/>
      <scheme val="minor"/>
    </font>
    <font>
      <b/>
      <sz val="11"/>
      <color indexed="8"/>
      <name val="Calibri"/>
      <family val="2"/>
      <scheme val="minor"/>
    </font>
    <font>
      <sz val="11"/>
      <color indexed="9"/>
      <name val="Calibri"/>
      <family val="2"/>
      <scheme val="minor"/>
    </font>
    <font>
      <u/>
      <sz val="11"/>
      <color indexed="8"/>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theme="0"/>
        <bgColor indexed="64"/>
      </patternFill>
    </fill>
    <fill>
      <patternFill patternType="solid">
        <fgColor theme="4" tint="0.79998168889431442"/>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ck">
        <color indexed="64"/>
      </top>
      <bottom/>
      <diagonal/>
    </border>
    <border>
      <left/>
      <right/>
      <top/>
      <bottom style="thick">
        <color indexed="64"/>
      </bottom>
      <diagonal/>
    </border>
    <border>
      <left/>
      <right/>
      <top style="thin">
        <color indexed="64"/>
      </top>
      <bottom/>
      <diagonal/>
    </border>
    <border>
      <left/>
      <right/>
      <top style="thin">
        <color indexed="8"/>
      </top>
      <bottom/>
      <diagonal/>
    </border>
    <border>
      <left/>
      <right/>
      <top style="medium">
        <color indexed="8"/>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top style="thin">
        <color indexed="8"/>
      </top>
      <bottom style="medium">
        <color indexed="8"/>
      </bottom>
      <diagonal/>
    </border>
    <border>
      <left/>
      <right/>
      <top style="thin">
        <color theme="0" tint="-0.34998626667073579"/>
      </top>
      <bottom style="thin">
        <color theme="0" tint="-0.34998626667073579"/>
      </bottom>
      <diagonal/>
    </border>
    <border>
      <left/>
      <right/>
      <top style="thin">
        <color theme="0" tint="-0.34998626667073579"/>
      </top>
      <bottom/>
      <diagonal/>
    </border>
    <border>
      <left/>
      <right/>
      <top/>
      <bottom style="thin">
        <color theme="1"/>
      </bottom>
      <diagonal/>
    </border>
    <border>
      <left/>
      <right/>
      <top/>
      <bottom style="thin">
        <color theme="0" tint="-0.24994659260841701"/>
      </bottom>
      <diagonal/>
    </border>
  </borders>
  <cellStyleXfs count="8">
    <xf numFmtId="0" fontId="0" fillId="0" borderId="0"/>
    <xf numFmtId="0" fontId="7"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 fillId="0" borderId="0"/>
    <xf numFmtId="0" fontId="1" fillId="0" borderId="0"/>
    <xf numFmtId="0" fontId="4" fillId="0" borderId="0"/>
    <xf numFmtId="0" fontId="3" fillId="0" borderId="0"/>
    <xf numFmtId="9" fontId="1" fillId="0" borderId="0" applyFont="0" applyFill="0" applyBorder="0" applyAlignment="0" applyProtection="0"/>
  </cellStyleXfs>
  <cellXfs count="251">
    <xf numFmtId="0" fontId="0" fillId="0" borderId="0" xfId="0"/>
    <xf numFmtId="0" fontId="13" fillId="2" borderId="0" xfId="0" applyNumberFormat="1" applyFont="1" applyFill="1" applyAlignment="1" applyProtection="1">
      <protection locked="0"/>
    </xf>
    <xf numFmtId="0" fontId="14" fillId="0" borderId="0" xfId="0" applyNumberFormat="1" applyFont="1" applyAlignment="1" applyProtection="1">
      <protection locked="0"/>
    </xf>
    <xf numFmtId="0" fontId="13" fillId="2" borderId="0" xfId="0" applyNumberFormat="1" applyFont="1" applyFill="1" applyAlignment="1" applyProtection="1"/>
    <xf numFmtId="164" fontId="13" fillId="2" borderId="0" xfId="0" applyNumberFormat="1" applyFont="1" applyFill="1" applyAlignment="1" applyProtection="1"/>
    <xf numFmtId="0" fontId="15" fillId="2" borderId="0" xfId="6" applyFont="1" applyFill="1"/>
    <xf numFmtId="0" fontId="14" fillId="2" borderId="0" xfId="6" applyFont="1" applyFill="1"/>
    <xf numFmtId="0" fontId="15" fillId="3" borderId="1" xfId="6" applyFont="1" applyFill="1" applyBorder="1"/>
    <xf numFmtId="0" fontId="15" fillId="3" borderId="2" xfId="6" applyFont="1" applyFill="1" applyBorder="1"/>
    <xf numFmtId="0" fontId="15" fillId="3" borderId="3" xfId="6" applyFont="1" applyFill="1" applyBorder="1"/>
    <xf numFmtId="0" fontId="15" fillId="3" borderId="4" xfId="6" applyFont="1" applyFill="1" applyBorder="1"/>
    <xf numFmtId="0" fontId="15" fillId="3" borderId="0" xfId="6" applyFont="1" applyFill="1" applyBorder="1"/>
    <xf numFmtId="0" fontId="15" fillId="3" borderId="5" xfId="6" applyFont="1" applyFill="1" applyBorder="1"/>
    <xf numFmtId="0" fontId="15" fillId="3" borderId="6" xfId="6" applyFont="1" applyFill="1" applyBorder="1"/>
    <xf numFmtId="0" fontId="15" fillId="3" borderId="7" xfId="6" applyFont="1" applyFill="1" applyBorder="1"/>
    <xf numFmtId="0" fontId="15" fillId="3" borderId="8" xfId="6" applyFont="1" applyFill="1" applyBorder="1"/>
    <xf numFmtId="0" fontId="15" fillId="4" borderId="0" xfId="5" applyFont="1" applyFill="1" applyBorder="1" applyAlignment="1">
      <alignment horizontal="left"/>
    </xf>
    <xf numFmtId="0" fontId="14" fillId="2" borderId="0" xfId="6" applyFont="1" applyFill="1" applyBorder="1"/>
    <xf numFmtId="0" fontId="16" fillId="3" borderId="0" xfId="6" applyFont="1" applyFill="1" applyBorder="1"/>
    <xf numFmtId="0" fontId="17" fillId="3" borderId="7" xfId="6" applyFont="1" applyFill="1" applyBorder="1"/>
    <xf numFmtId="0" fontId="18" fillId="2" borderId="0" xfId="6" applyFont="1" applyFill="1"/>
    <xf numFmtId="0" fontId="14" fillId="2" borderId="0" xfId="6" applyFont="1" applyFill="1" applyAlignment="1">
      <alignment wrapText="1"/>
    </xf>
    <xf numFmtId="0" fontId="14" fillId="2" borderId="0" xfId="6" applyFont="1" applyFill="1" applyAlignment="1"/>
    <xf numFmtId="0" fontId="14" fillId="4" borderId="0" xfId="5" applyFont="1" applyFill="1"/>
    <xf numFmtId="0" fontId="19" fillId="4" borderId="0" xfId="2" applyFont="1" applyFill="1" applyAlignment="1" applyProtection="1"/>
    <xf numFmtId="0" fontId="14" fillId="2" borderId="0" xfId="5" applyFont="1" applyFill="1" applyBorder="1"/>
    <xf numFmtId="0" fontId="19" fillId="2" borderId="0" xfId="2" applyFont="1" applyFill="1" applyBorder="1" applyAlignment="1" applyProtection="1"/>
    <xf numFmtId="0" fontId="14" fillId="0" borderId="9" xfId="5" applyFont="1" applyBorder="1"/>
    <xf numFmtId="0" fontId="14" fillId="0" borderId="0" xfId="5" applyFont="1"/>
    <xf numFmtId="0" fontId="14" fillId="2" borderId="10" xfId="5" applyFont="1" applyFill="1" applyBorder="1"/>
    <xf numFmtId="0" fontId="19" fillId="2" borderId="10" xfId="2" applyFont="1" applyFill="1" applyBorder="1" applyAlignment="1" applyProtection="1"/>
    <xf numFmtId="0" fontId="13" fillId="2" borderId="0" xfId="0" applyNumberFormat="1" applyFont="1" applyFill="1" applyAlignment="1" applyProtection="1">
      <alignment horizontal="fill"/>
    </xf>
    <xf numFmtId="0" fontId="14" fillId="2" borderId="0" xfId="0" applyNumberFormat="1" applyFont="1" applyFill="1" applyAlignment="1" applyProtection="1">
      <alignment horizontal="fill"/>
    </xf>
    <xf numFmtId="0" fontId="20" fillId="5" borderId="0" xfId="0" applyFont="1" applyFill="1" applyBorder="1" applyAlignment="1" applyProtection="1">
      <alignment horizontal="left" indent="1"/>
      <protection locked="0"/>
    </xf>
    <xf numFmtId="166" fontId="20" fillId="5" borderId="0" xfId="0" applyNumberFormat="1" applyFont="1" applyFill="1" applyBorder="1" applyAlignment="1" applyProtection="1">
      <alignment horizontal="right" indent="1"/>
      <protection locked="0"/>
    </xf>
    <xf numFmtId="0" fontId="20" fillId="5" borderId="0" xfId="0" applyFont="1" applyFill="1" applyBorder="1" applyAlignment="1" applyProtection="1">
      <alignment horizontal="right" indent="2"/>
      <protection locked="0"/>
    </xf>
    <xf numFmtId="0" fontId="20" fillId="5" borderId="0" xfId="0" applyNumberFormat="1" applyFont="1" applyFill="1" applyBorder="1" applyAlignment="1" applyProtection="1">
      <alignment horizontal="right" indent="2"/>
      <protection locked="0"/>
    </xf>
    <xf numFmtId="10" fontId="20" fillId="5" borderId="11" xfId="0" applyNumberFormat="1" applyFont="1" applyFill="1" applyBorder="1" applyAlignment="1" applyProtection="1">
      <protection locked="0"/>
    </xf>
    <xf numFmtId="10" fontId="20" fillId="5" borderId="0" xfId="0" applyNumberFormat="1" applyFont="1" applyFill="1" applyBorder="1" applyAlignment="1" applyProtection="1">
      <protection locked="0"/>
    </xf>
    <xf numFmtId="10" fontId="20" fillId="5" borderId="7" xfId="0" applyNumberFormat="1" applyFont="1" applyFill="1" applyBorder="1" applyAlignment="1" applyProtection="1">
      <protection locked="0"/>
    </xf>
    <xf numFmtId="0" fontId="20" fillId="5" borderId="18" xfId="0" applyFont="1" applyFill="1" applyBorder="1" applyAlignment="1" applyProtection="1">
      <alignment horizontal="left" indent="1"/>
      <protection locked="0"/>
    </xf>
    <xf numFmtId="166" fontId="20" fillId="5" borderId="18" xfId="0" applyNumberFormat="1" applyFont="1" applyFill="1" applyBorder="1" applyAlignment="1" applyProtection="1">
      <alignment horizontal="right" indent="1"/>
      <protection locked="0"/>
    </xf>
    <xf numFmtId="0" fontId="20" fillId="5" borderId="18" xfId="0" applyFont="1" applyFill="1" applyBorder="1" applyAlignment="1" applyProtection="1">
      <alignment horizontal="right" indent="2"/>
      <protection locked="0"/>
    </xf>
    <xf numFmtId="0" fontId="20" fillId="5" borderId="18" xfId="0" applyNumberFormat="1" applyFont="1" applyFill="1" applyBorder="1" applyAlignment="1" applyProtection="1">
      <alignment horizontal="right" indent="2"/>
      <protection locked="0"/>
    </xf>
    <xf numFmtId="0" fontId="20" fillId="5" borderId="12" xfId="0" applyFont="1" applyFill="1" applyBorder="1" applyAlignment="1" applyProtection="1">
      <protection locked="0"/>
    </xf>
    <xf numFmtId="166" fontId="20" fillId="5" borderId="12" xfId="0" applyNumberFormat="1" applyFont="1" applyFill="1" applyBorder="1" applyAlignment="1" applyProtection="1">
      <alignment horizontal="right" indent="1"/>
      <protection locked="0"/>
    </xf>
    <xf numFmtId="0" fontId="20" fillId="5" borderId="12" xfId="0" applyFont="1" applyFill="1" applyBorder="1" applyAlignment="1" applyProtection="1">
      <alignment horizontal="right" indent="2"/>
      <protection locked="0"/>
    </xf>
    <xf numFmtId="9" fontId="20" fillId="5" borderId="12" xfId="0" applyNumberFormat="1" applyFont="1" applyFill="1" applyBorder="1" applyAlignment="1" applyProtection="1">
      <alignment horizontal="right" indent="2"/>
      <protection locked="0"/>
    </xf>
    <xf numFmtId="0" fontId="20" fillId="5" borderId="0" xfId="0" applyFont="1" applyFill="1" applyBorder="1" applyAlignment="1" applyProtection="1">
      <protection locked="0"/>
    </xf>
    <xf numFmtId="9" fontId="20" fillId="5" borderId="0" xfId="0" applyNumberFormat="1" applyFont="1" applyFill="1" applyBorder="1" applyAlignment="1" applyProtection="1">
      <alignment horizontal="right" indent="2"/>
      <protection locked="0"/>
    </xf>
    <xf numFmtId="10" fontId="20" fillId="5" borderId="12" xfId="0" applyNumberFormat="1" applyFont="1" applyFill="1" applyBorder="1" applyAlignment="1" applyProtection="1">
      <protection locked="0"/>
    </xf>
    <xf numFmtId="0" fontId="20" fillId="5" borderId="18" xfId="0" applyFont="1" applyFill="1" applyBorder="1" applyAlignment="1" applyProtection="1">
      <protection locked="0"/>
    </xf>
    <xf numFmtId="9" fontId="20" fillId="5" borderId="18" xfId="0" applyNumberFormat="1" applyFont="1" applyFill="1" applyBorder="1" applyAlignment="1" applyProtection="1">
      <alignment horizontal="right" indent="2"/>
      <protection locked="0"/>
    </xf>
    <xf numFmtId="10" fontId="20" fillId="5" borderId="0" xfId="0" applyNumberFormat="1" applyFont="1" applyFill="1" applyBorder="1" applyAlignment="1" applyProtection="1">
      <alignment horizontal="right" indent="1"/>
      <protection locked="0"/>
    </xf>
    <xf numFmtId="9" fontId="20" fillId="5" borderId="0" xfId="0" applyNumberFormat="1" applyFont="1" applyFill="1" applyAlignment="1" applyProtection="1">
      <alignment horizontal="right" indent="1"/>
      <protection locked="0"/>
    </xf>
    <xf numFmtId="9" fontId="20" fillId="5" borderId="12" xfId="0" applyNumberFormat="1" applyFont="1" applyFill="1" applyBorder="1" applyAlignment="1" applyProtection="1">
      <alignment horizontal="right" indent="1"/>
      <protection locked="0"/>
    </xf>
    <xf numFmtId="0" fontId="20" fillId="5" borderId="0" xfId="0" applyFont="1" applyFill="1" applyAlignment="1" applyProtection="1">
      <alignment horizontal="center"/>
      <protection locked="0"/>
    </xf>
    <xf numFmtId="165" fontId="20" fillId="5" borderId="0" xfId="0" applyNumberFormat="1" applyFont="1" applyFill="1" applyAlignment="1" applyProtection="1">
      <alignment horizontal="center"/>
      <protection locked="0"/>
    </xf>
    <xf numFmtId="0" fontId="13" fillId="2" borderId="0" xfId="0" applyFont="1" applyFill="1" applyAlignment="1" applyProtection="1"/>
    <xf numFmtId="0" fontId="21" fillId="2" borderId="0" xfId="0" applyFont="1" applyFill="1" applyAlignment="1" applyProtection="1"/>
    <xf numFmtId="9" fontId="13" fillId="2" borderId="0" xfId="0" applyNumberFormat="1" applyFont="1" applyFill="1" applyAlignment="1" applyProtection="1"/>
    <xf numFmtId="167" fontId="13" fillId="2" borderId="0" xfId="0" applyNumberFormat="1" applyFont="1" applyFill="1" applyAlignment="1" applyProtection="1"/>
    <xf numFmtId="2" fontId="13" fillId="2" borderId="0" xfId="0" applyNumberFormat="1" applyFont="1" applyFill="1" applyAlignment="1" applyProtection="1"/>
    <xf numFmtId="0" fontId="13" fillId="2" borderId="13" xfId="0" applyFont="1" applyFill="1" applyBorder="1" applyAlignment="1" applyProtection="1">
      <alignment horizontal="fill"/>
    </xf>
    <xf numFmtId="9" fontId="13" fillId="2" borderId="13" xfId="0" applyNumberFormat="1" applyFont="1" applyFill="1" applyBorder="1" applyAlignment="1" applyProtection="1">
      <alignment horizontal="fill"/>
    </xf>
    <xf numFmtId="167" fontId="13" fillId="2" borderId="13" xfId="0" applyNumberFormat="1" applyFont="1" applyFill="1" applyBorder="1" applyAlignment="1" applyProtection="1">
      <alignment horizontal="fill"/>
    </xf>
    <xf numFmtId="2" fontId="13" fillId="2" borderId="13" xfId="0" applyNumberFormat="1" applyFont="1" applyFill="1" applyBorder="1" applyAlignment="1" applyProtection="1">
      <alignment horizontal="fill"/>
    </xf>
    <xf numFmtId="0" fontId="13" fillId="2" borderId="0" xfId="0" applyFont="1" applyFill="1" applyAlignment="1" applyProtection="1">
      <alignment horizontal="fill"/>
    </xf>
    <xf numFmtId="9" fontId="13" fillId="2" borderId="0" xfId="0" applyNumberFormat="1" applyFont="1" applyFill="1" applyAlignment="1" applyProtection="1">
      <alignment horizontal="fill"/>
    </xf>
    <xf numFmtId="167" fontId="13" fillId="2" borderId="0" xfId="0" applyNumberFormat="1" applyFont="1" applyFill="1" applyAlignment="1" applyProtection="1">
      <alignment horizontal="fill"/>
    </xf>
    <xf numFmtId="2" fontId="13" fillId="2" borderId="0" xfId="0" applyNumberFormat="1" applyFont="1" applyFill="1" applyAlignment="1" applyProtection="1">
      <alignment horizontal="fill"/>
    </xf>
    <xf numFmtId="0" fontId="13" fillId="2" borderId="12" xfId="0" applyFont="1" applyFill="1" applyBorder="1" applyAlignment="1" applyProtection="1"/>
    <xf numFmtId="9" fontId="13" fillId="2" borderId="12" xfId="0" applyNumberFormat="1" applyFont="1" applyFill="1" applyBorder="1" applyAlignment="1" applyProtection="1">
      <alignment horizontal="center"/>
    </xf>
    <xf numFmtId="167" fontId="13" fillId="2" borderId="12" xfId="0" applyNumberFormat="1" applyFont="1" applyFill="1" applyBorder="1" applyAlignment="1" applyProtection="1"/>
    <xf numFmtId="2" fontId="13" fillId="2" borderId="12" xfId="0" applyNumberFormat="1" applyFont="1" applyFill="1" applyBorder="1" applyAlignment="1" applyProtection="1"/>
    <xf numFmtId="9" fontId="13" fillId="2" borderId="0" xfId="0" applyNumberFormat="1" applyFont="1" applyFill="1" applyAlignment="1" applyProtection="1">
      <alignment horizontal="center"/>
    </xf>
    <xf numFmtId="167" fontId="13" fillId="2" borderId="0" xfId="0" applyNumberFormat="1" applyFont="1" applyFill="1" applyAlignment="1" applyProtection="1">
      <alignment horizontal="right"/>
    </xf>
    <xf numFmtId="2" fontId="13" fillId="2" borderId="0" xfId="0" applyNumberFormat="1" applyFont="1" applyFill="1" applyAlignment="1" applyProtection="1">
      <alignment horizontal="right"/>
    </xf>
    <xf numFmtId="0" fontId="13" fillId="2" borderId="12" xfId="0" applyFont="1" applyFill="1" applyBorder="1" applyAlignment="1" applyProtection="1">
      <alignment horizontal="fill"/>
    </xf>
    <xf numFmtId="9" fontId="13" fillId="2" borderId="12" xfId="0" applyNumberFormat="1" applyFont="1" applyFill="1" applyBorder="1" applyAlignment="1" applyProtection="1">
      <alignment horizontal="fill"/>
    </xf>
    <xf numFmtId="167" fontId="13" fillId="2" borderId="12" xfId="0" applyNumberFormat="1" applyFont="1" applyFill="1" applyBorder="1" applyAlignment="1" applyProtection="1">
      <alignment horizontal="fill"/>
    </xf>
    <xf numFmtId="2" fontId="13" fillId="2" borderId="12" xfId="0" applyNumberFormat="1" applyFont="1" applyFill="1" applyBorder="1" applyAlignment="1" applyProtection="1">
      <alignment horizontal="fill"/>
    </xf>
    <xf numFmtId="9" fontId="20" fillId="2" borderId="0" xfId="0" applyNumberFormat="1" applyFont="1" applyFill="1" applyAlignment="1" applyProtection="1">
      <alignment horizontal="right" indent="1"/>
    </xf>
    <xf numFmtId="9" fontId="14" fillId="2" borderId="0" xfId="0" applyNumberFormat="1" applyFont="1" applyFill="1" applyAlignment="1" applyProtection="1">
      <alignment horizontal="right" indent="1"/>
    </xf>
    <xf numFmtId="9" fontId="13" fillId="2" borderId="12" xfId="0" applyNumberFormat="1" applyFont="1" applyFill="1" applyBorder="1" applyAlignment="1" applyProtection="1"/>
    <xf numFmtId="167" fontId="13" fillId="2" borderId="12" xfId="0" applyNumberFormat="1" applyFont="1" applyFill="1" applyBorder="1" applyAlignment="1" applyProtection="1">
      <alignment horizontal="right"/>
    </xf>
    <xf numFmtId="2" fontId="13" fillId="2" borderId="12" xfId="0" applyNumberFormat="1" applyFont="1" applyFill="1" applyBorder="1" applyAlignment="1" applyProtection="1">
      <alignment horizontal="right"/>
    </xf>
    <xf numFmtId="9" fontId="13" fillId="2" borderId="0" xfId="0" applyNumberFormat="1" applyFont="1" applyFill="1" applyAlignment="1" applyProtection="1">
      <alignment horizontal="right" indent="1"/>
    </xf>
    <xf numFmtId="0" fontId="22" fillId="2" borderId="0" xfId="0" applyFont="1" applyFill="1" applyAlignment="1" applyProtection="1"/>
    <xf numFmtId="9" fontId="22" fillId="2" borderId="0" xfId="0" applyNumberFormat="1" applyFont="1" applyFill="1" applyAlignment="1" applyProtection="1"/>
    <xf numFmtId="165" fontId="22" fillId="2" borderId="0" xfId="0" applyNumberFormat="1" applyFont="1" applyFill="1" applyAlignment="1" applyProtection="1"/>
    <xf numFmtId="0" fontId="13" fillId="2" borderId="13" xfId="0" applyFont="1" applyFill="1" applyBorder="1" applyAlignment="1" applyProtection="1"/>
    <xf numFmtId="9" fontId="13" fillId="2" borderId="13" xfId="0" applyNumberFormat="1" applyFont="1" applyFill="1" applyBorder="1" applyAlignment="1" applyProtection="1"/>
    <xf numFmtId="167" fontId="13" fillId="2" borderId="13" xfId="0" applyNumberFormat="1" applyFont="1" applyFill="1" applyBorder="1" applyAlignment="1" applyProtection="1"/>
    <xf numFmtId="2" fontId="13" fillId="2" borderId="13" xfId="0" applyNumberFormat="1" applyFont="1" applyFill="1" applyBorder="1" applyAlignment="1" applyProtection="1"/>
    <xf numFmtId="0" fontId="13" fillId="2" borderId="14" xfId="0" applyFont="1" applyFill="1" applyBorder="1" applyAlignment="1" applyProtection="1"/>
    <xf numFmtId="9" fontId="13" fillId="2" borderId="14" xfId="0" applyNumberFormat="1" applyFont="1" applyFill="1" applyBorder="1" applyAlignment="1" applyProtection="1">
      <alignment horizontal="center"/>
    </xf>
    <xf numFmtId="167" fontId="13" fillId="2" borderId="14" xfId="0" applyNumberFormat="1" applyFont="1" applyFill="1" applyBorder="1" applyAlignment="1" applyProtection="1">
      <alignment horizontal="right"/>
    </xf>
    <xf numFmtId="2" fontId="13" fillId="2" borderId="14" xfId="0" applyNumberFormat="1" applyFont="1" applyFill="1" applyBorder="1" applyAlignment="1" applyProtection="1">
      <alignment horizontal="right"/>
    </xf>
    <xf numFmtId="165" fontId="13" fillId="2" borderId="0" xfId="0" applyNumberFormat="1" applyFont="1" applyFill="1" applyAlignment="1" applyProtection="1"/>
    <xf numFmtId="165" fontId="13" fillId="2" borderId="14" xfId="0" applyNumberFormat="1" applyFont="1" applyFill="1" applyBorder="1" applyAlignment="1" applyProtection="1"/>
    <xf numFmtId="167" fontId="13" fillId="2" borderId="14" xfId="0" applyNumberFormat="1" applyFont="1" applyFill="1" applyBorder="1" applyAlignment="1" applyProtection="1"/>
    <xf numFmtId="0" fontId="13" fillId="2" borderId="14" xfId="0" applyFont="1" applyFill="1" applyBorder="1" applyAlignment="1" applyProtection="1">
      <alignment horizontal="fill"/>
    </xf>
    <xf numFmtId="167" fontId="13" fillId="2" borderId="14" xfId="0" applyNumberFormat="1" applyFont="1" applyFill="1" applyBorder="1" applyAlignment="1" applyProtection="1">
      <alignment horizontal="fill"/>
    </xf>
    <xf numFmtId="2" fontId="13" fillId="2" borderId="14" xfId="0" applyNumberFormat="1" applyFont="1" applyFill="1" applyBorder="1" applyAlignment="1" applyProtection="1">
      <alignment horizontal="fill"/>
    </xf>
    <xf numFmtId="0" fontId="13" fillId="2" borderId="0" xfId="0" applyFont="1" applyFill="1" applyAlignment="1" applyProtection="1">
      <alignment horizontal="right"/>
    </xf>
    <xf numFmtId="0" fontId="13" fillId="2" borderId="15" xfId="0" applyFont="1" applyFill="1" applyBorder="1" applyAlignment="1" applyProtection="1"/>
    <xf numFmtId="165" fontId="13" fillId="2" borderId="15" xfId="0" applyNumberFormat="1" applyFont="1" applyFill="1" applyBorder="1" applyAlignment="1" applyProtection="1"/>
    <xf numFmtId="0" fontId="13" fillId="2" borderId="0" xfId="0" applyFont="1" applyFill="1" applyAlignment="1" applyProtection="1">
      <protection locked="0"/>
    </xf>
    <xf numFmtId="9" fontId="13" fillId="2" borderId="0" xfId="0" applyNumberFormat="1" applyFont="1" applyFill="1" applyAlignment="1" applyProtection="1">
      <protection locked="0"/>
    </xf>
    <xf numFmtId="167" fontId="13" fillId="2" borderId="0" xfId="0" applyNumberFormat="1" applyFont="1" applyFill="1" applyAlignment="1" applyProtection="1">
      <protection locked="0"/>
    </xf>
    <xf numFmtId="2" fontId="13" fillId="2" borderId="0" xfId="0" applyNumberFormat="1" applyFont="1" applyFill="1" applyAlignment="1" applyProtection="1">
      <protection locked="0"/>
    </xf>
    <xf numFmtId="0" fontId="13" fillId="2" borderId="0" xfId="0" applyFont="1" applyFill="1" applyBorder="1" applyAlignment="1" applyProtection="1">
      <protection locked="0"/>
    </xf>
    <xf numFmtId="0" fontId="13" fillId="2" borderId="0" xfId="0" applyFont="1" applyFill="1" applyBorder="1" applyAlignment="1" applyProtection="1"/>
    <xf numFmtId="0" fontId="22" fillId="2" borderId="0" xfId="0" applyFont="1" applyFill="1" applyBorder="1" applyAlignment="1" applyProtection="1"/>
    <xf numFmtId="0" fontId="13" fillId="2" borderId="2" xfId="0" applyFont="1" applyFill="1" applyBorder="1" applyAlignment="1" applyProtection="1"/>
    <xf numFmtId="166" fontId="13" fillId="2" borderId="2" xfId="0" applyNumberFormat="1" applyFont="1" applyFill="1" applyBorder="1" applyAlignment="1" applyProtection="1">
      <alignment horizontal="right" indent="1"/>
    </xf>
    <xf numFmtId="167" fontId="13" fillId="2" borderId="2" xfId="0" applyNumberFormat="1" applyFont="1" applyFill="1" applyBorder="1" applyAlignment="1" applyProtection="1"/>
    <xf numFmtId="166" fontId="13" fillId="2" borderId="0" xfId="0" applyNumberFormat="1" applyFont="1" applyFill="1" applyBorder="1" applyAlignment="1" applyProtection="1">
      <alignment horizontal="right" indent="1"/>
    </xf>
    <xf numFmtId="167" fontId="13" fillId="2" borderId="0" xfId="0" applyNumberFormat="1" applyFont="1" applyFill="1" applyBorder="1" applyAlignment="1" applyProtection="1"/>
    <xf numFmtId="10" fontId="20" fillId="2" borderId="0" xfId="0" applyNumberFormat="1" applyFont="1" applyFill="1" applyBorder="1" applyAlignment="1" applyProtection="1"/>
    <xf numFmtId="0" fontId="13" fillId="2" borderId="7" xfId="0" applyFont="1" applyFill="1" applyBorder="1" applyAlignment="1" applyProtection="1"/>
    <xf numFmtId="167" fontId="13" fillId="2" borderId="7" xfId="0" applyNumberFormat="1" applyFont="1" applyFill="1" applyBorder="1" applyAlignment="1" applyProtection="1">
      <alignment horizontal="right" indent="1"/>
    </xf>
    <xf numFmtId="167" fontId="13" fillId="2" borderId="7" xfId="0" applyNumberFormat="1" applyFont="1" applyFill="1" applyBorder="1" applyAlignment="1" applyProtection="1"/>
    <xf numFmtId="167" fontId="13" fillId="2" borderId="0" xfId="0" applyNumberFormat="1" applyFont="1" applyFill="1" applyBorder="1" applyAlignment="1" applyProtection="1">
      <alignment horizontal="right" indent="1"/>
    </xf>
    <xf numFmtId="0" fontId="13" fillId="2" borderId="0" xfId="0" applyFont="1" applyFill="1" applyBorder="1" applyAlignment="1" applyProtection="1">
      <alignment horizontal="right" indent="2"/>
    </xf>
    <xf numFmtId="0" fontId="13" fillId="2" borderId="0" xfId="0" applyFont="1" applyFill="1" applyBorder="1" applyAlignment="1" applyProtection="1">
      <alignment horizontal="right" indent="1"/>
    </xf>
    <xf numFmtId="0" fontId="13" fillId="2" borderId="7" xfId="0" applyFont="1" applyFill="1" applyBorder="1" applyAlignment="1" applyProtection="1">
      <alignment horizontal="right" indent="1"/>
    </xf>
    <xf numFmtId="167" fontId="13" fillId="2" borderId="0" xfId="0" applyNumberFormat="1" applyFont="1" applyFill="1" applyAlignment="1" applyProtection="1">
      <alignment horizontal="right" indent="1"/>
    </xf>
    <xf numFmtId="167" fontId="22" fillId="2" borderId="0" xfId="0" applyNumberFormat="1" applyFont="1" applyFill="1" applyAlignment="1" applyProtection="1">
      <alignment horizontal="right" indent="1"/>
    </xf>
    <xf numFmtId="0" fontId="22" fillId="2" borderId="12" xfId="0" applyFont="1" applyFill="1" applyBorder="1" applyAlignment="1" applyProtection="1"/>
    <xf numFmtId="167" fontId="13" fillId="2" borderId="12" xfId="0" applyNumberFormat="1" applyFont="1" applyFill="1" applyBorder="1" applyAlignment="1" applyProtection="1">
      <alignment horizontal="right" indent="1"/>
    </xf>
    <xf numFmtId="165" fontId="13" fillId="2" borderId="0" xfId="0" applyNumberFormat="1" applyFont="1" applyFill="1" applyAlignment="1" applyProtection="1">
      <alignment horizontal="center"/>
    </xf>
    <xf numFmtId="0" fontId="13" fillId="2" borderId="0" xfId="0" applyFont="1" applyFill="1" applyAlignment="1" applyProtection="1">
      <alignment horizontal="left" indent="1"/>
    </xf>
    <xf numFmtId="167" fontId="13" fillId="2" borderId="13" xfId="0" applyNumberFormat="1" applyFont="1" applyFill="1" applyBorder="1" applyAlignment="1" applyProtection="1">
      <alignment horizontal="right" indent="1"/>
    </xf>
    <xf numFmtId="0" fontId="20" fillId="5" borderId="19" xfId="0" applyFont="1" applyFill="1" applyBorder="1" applyAlignment="1" applyProtection="1">
      <alignment horizontal="right" indent="2"/>
      <protection locked="0"/>
    </xf>
    <xf numFmtId="3" fontId="20" fillId="5" borderId="19" xfId="0" applyNumberFormat="1" applyFont="1" applyFill="1" applyBorder="1" applyAlignment="1" applyProtection="1">
      <alignment horizontal="right" indent="2"/>
      <protection locked="0"/>
    </xf>
    <xf numFmtId="0" fontId="20" fillId="5" borderId="0" xfId="0" applyFont="1" applyFill="1" applyAlignment="1" applyProtection="1">
      <alignment horizontal="right" indent="1"/>
      <protection locked="0"/>
    </xf>
    <xf numFmtId="0" fontId="13" fillId="2" borderId="0" xfId="0" applyFont="1" applyFill="1" applyAlignment="1" applyProtection="1">
      <alignment horizontal="right" indent="1"/>
    </xf>
    <xf numFmtId="2" fontId="13" fillId="2" borderId="12" xfId="0" applyNumberFormat="1" applyFont="1" applyFill="1" applyBorder="1" applyAlignment="1" applyProtection="1">
      <alignment horizontal="right" indent="1"/>
    </xf>
    <xf numFmtId="0" fontId="13" fillId="2" borderId="0" xfId="0" applyFont="1" applyFill="1" applyAlignment="1" applyProtection="1">
      <alignment horizontal="center"/>
    </xf>
    <xf numFmtId="0" fontId="13" fillId="2" borderId="12" xfId="0" applyFont="1" applyFill="1" applyBorder="1" applyAlignment="1" applyProtection="1">
      <alignment horizontal="right" indent="1"/>
    </xf>
    <xf numFmtId="0" fontId="13" fillId="2" borderId="19" xfId="0" applyFont="1" applyFill="1" applyBorder="1" applyAlignment="1" applyProtection="1"/>
    <xf numFmtId="0" fontId="13" fillId="2" borderId="19" xfId="0" applyFont="1" applyFill="1" applyBorder="1" applyAlignment="1" applyProtection="1">
      <alignment horizontal="right" indent="1"/>
    </xf>
    <xf numFmtId="3" fontId="13" fillId="2" borderId="12" xfId="0" applyNumberFormat="1" applyFont="1" applyFill="1" applyBorder="1" applyAlignment="1" applyProtection="1">
      <alignment horizontal="right" indent="2"/>
    </xf>
    <xf numFmtId="3" fontId="13" fillId="2" borderId="12" xfId="0" applyNumberFormat="1" applyFont="1" applyFill="1" applyBorder="1" applyAlignment="1" applyProtection="1">
      <alignment horizontal="right" indent="1"/>
    </xf>
    <xf numFmtId="0" fontId="13" fillId="2" borderId="7" xfId="0" applyFont="1" applyFill="1" applyBorder="1" applyAlignment="1" applyProtection="1">
      <alignment horizontal="fill"/>
    </xf>
    <xf numFmtId="0" fontId="13" fillId="2" borderId="7" xfId="0" applyFont="1" applyFill="1" applyBorder="1" applyAlignment="1" applyProtection="1">
      <alignment horizontal="right" indent="1"/>
    </xf>
    <xf numFmtId="3" fontId="13" fillId="2" borderId="0" xfId="0" applyNumberFormat="1" applyFont="1" applyFill="1" applyAlignment="1" applyProtection="1"/>
    <xf numFmtId="3" fontId="13" fillId="2" borderId="0" xfId="0" applyNumberFormat="1" applyFont="1" applyFill="1" applyAlignment="1" applyProtection="1">
      <alignment horizontal="right" indent="1"/>
    </xf>
    <xf numFmtId="3" fontId="13" fillId="2" borderId="19" xfId="0" applyNumberFormat="1" applyFont="1" applyFill="1" applyBorder="1" applyAlignment="1" applyProtection="1">
      <alignment horizontal="right" indent="1"/>
    </xf>
    <xf numFmtId="170" fontId="13" fillId="2" borderId="12" xfId="0" applyNumberFormat="1" applyFont="1" applyFill="1" applyBorder="1" applyAlignment="1" applyProtection="1">
      <alignment horizontal="right" indent="2"/>
    </xf>
    <xf numFmtId="170" fontId="13" fillId="2" borderId="12" xfId="0" applyNumberFormat="1" applyFont="1" applyFill="1" applyBorder="1" applyAlignment="1" applyProtection="1">
      <alignment horizontal="right" indent="1"/>
    </xf>
    <xf numFmtId="168" fontId="13" fillId="2" borderId="12" xfId="0" applyNumberFormat="1" applyFont="1" applyFill="1" applyBorder="1" applyAlignment="1" applyProtection="1">
      <alignment horizontal="right" indent="2"/>
    </xf>
    <xf numFmtId="168" fontId="13" fillId="2" borderId="12" xfId="0" applyNumberFormat="1" applyFont="1" applyFill="1" applyBorder="1" applyAlignment="1" applyProtection="1">
      <alignment horizontal="right" indent="1"/>
    </xf>
    <xf numFmtId="0" fontId="13" fillId="2" borderId="13" xfId="0" applyFont="1" applyFill="1" applyBorder="1" applyAlignment="1" applyProtection="1">
      <alignment horizontal="center"/>
    </xf>
    <xf numFmtId="0" fontId="13" fillId="2" borderId="2" xfId="0" applyFont="1" applyFill="1" applyBorder="1" applyAlignment="1" applyProtection="1">
      <alignment horizontal="center"/>
    </xf>
    <xf numFmtId="0" fontId="13" fillId="2" borderId="0" xfId="0" applyFont="1" applyFill="1" applyBorder="1" applyAlignment="1" applyProtection="1">
      <alignment horizontal="center"/>
    </xf>
    <xf numFmtId="166" fontId="14" fillId="2" borderId="12" xfId="0" applyNumberFormat="1" applyFont="1" applyFill="1" applyBorder="1" applyAlignment="1" applyProtection="1">
      <alignment horizontal="right" indent="1"/>
    </xf>
    <xf numFmtId="166" fontId="14" fillId="2" borderId="18" xfId="0" applyNumberFormat="1" applyFont="1" applyFill="1" applyBorder="1" applyAlignment="1" applyProtection="1">
      <alignment horizontal="right" indent="1"/>
    </xf>
    <xf numFmtId="166" fontId="14" fillId="2" borderId="20" xfId="0" applyNumberFormat="1" applyFont="1" applyFill="1" applyBorder="1" applyAlignment="1" applyProtection="1">
      <alignment horizontal="right" indent="1"/>
    </xf>
    <xf numFmtId="2" fontId="13" fillId="2" borderId="0" xfId="0" applyNumberFormat="1" applyFont="1" applyFill="1" applyAlignment="1" applyProtection="1">
      <alignment horizontal="right" indent="1"/>
    </xf>
    <xf numFmtId="10" fontId="23" fillId="2" borderId="0" xfId="0" applyNumberFormat="1" applyFont="1" applyFill="1" applyBorder="1" applyAlignment="1" applyProtection="1"/>
    <xf numFmtId="0" fontId="14" fillId="2" borderId="0" xfId="0" applyNumberFormat="1" applyFont="1" applyFill="1" applyBorder="1" applyAlignment="1" applyProtection="1"/>
    <xf numFmtId="0" fontId="13" fillId="2" borderId="0" xfId="0" applyFont="1" applyFill="1" applyBorder="1" applyAlignment="1" applyProtection="1">
      <alignment horizontal="fill"/>
    </xf>
    <xf numFmtId="0" fontId="23" fillId="2" borderId="0" xfId="0" applyFont="1" applyFill="1" applyBorder="1" applyAlignment="1" applyProtection="1"/>
    <xf numFmtId="0" fontId="14" fillId="2" borderId="0" xfId="0" applyFont="1" applyFill="1" applyBorder="1" applyAlignment="1" applyProtection="1"/>
    <xf numFmtId="0" fontId="13" fillId="4" borderId="0" xfId="0" applyFont="1" applyFill="1" applyAlignment="1" applyProtection="1">
      <protection locked="0"/>
    </xf>
    <xf numFmtId="0" fontId="13" fillId="4" borderId="0" xfId="0" applyFont="1" applyFill="1" applyBorder="1" applyAlignment="1" applyProtection="1">
      <protection locked="0"/>
    </xf>
    <xf numFmtId="0" fontId="13" fillId="4" borderId="0" xfId="0" applyFont="1" applyFill="1" applyAlignment="1" applyProtection="1"/>
    <xf numFmtId="0" fontId="21" fillId="4" borderId="0" xfId="0" applyFont="1" applyFill="1" applyAlignment="1" applyProtection="1"/>
    <xf numFmtId="0" fontId="13" fillId="4" borderId="13" xfId="0" applyFont="1" applyFill="1" applyBorder="1" applyAlignment="1" applyProtection="1">
      <alignment horizontal="fill"/>
    </xf>
    <xf numFmtId="0" fontId="13" fillId="4" borderId="13" xfId="0" applyFont="1" applyFill="1" applyBorder="1" applyAlignment="1" applyProtection="1">
      <alignment horizontal="center"/>
    </xf>
    <xf numFmtId="0" fontId="13" fillId="4" borderId="2" xfId="0" applyFont="1" applyFill="1" applyBorder="1" applyAlignment="1" applyProtection="1">
      <alignment horizontal="center"/>
    </xf>
    <xf numFmtId="0" fontId="13" fillId="4" borderId="0" xfId="0" applyFont="1" applyFill="1" applyBorder="1" applyAlignment="1" applyProtection="1">
      <alignment horizontal="center"/>
    </xf>
    <xf numFmtId="0" fontId="13" fillId="4" borderId="12" xfId="0" applyFont="1" applyFill="1" applyBorder="1" applyAlignment="1" applyProtection="1">
      <alignment horizontal="left"/>
    </xf>
    <xf numFmtId="0" fontId="13" fillId="4" borderId="12" xfId="0" applyFont="1" applyFill="1" applyBorder="1" applyAlignment="1" applyProtection="1">
      <alignment horizontal="center"/>
    </xf>
    <xf numFmtId="166" fontId="14" fillId="4" borderId="18" xfId="0" applyNumberFormat="1" applyFont="1" applyFill="1" applyBorder="1" applyAlignment="1" applyProtection="1">
      <alignment horizontal="right" indent="1"/>
    </xf>
    <xf numFmtId="166" fontId="14" fillId="4" borderId="0" xfId="0" applyNumberFormat="1" applyFont="1" applyFill="1" applyBorder="1" applyAlignment="1" applyProtection="1">
      <alignment horizontal="right" indent="1"/>
    </xf>
    <xf numFmtId="0" fontId="14" fillId="4" borderId="11" xfId="0" applyFont="1" applyFill="1" applyBorder="1" applyAlignment="1" applyProtection="1">
      <alignment horizontal="left" indent="1"/>
    </xf>
    <xf numFmtId="166" fontId="14" fillId="4" borderId="11" xfId="0" applyNumberFormat="1" applyFont="1" applyFill="1" applyBorder="1" applyAlignment="1" applyProtection="1">
      <alignment horizontal="right" indent="1"/>
    </xf>
    <xf numFmtId="0" fontId="13" fillId="4" borderId="11" xfId="0" applyFont="1" applyFill="1" applyBorder="1" applyAlignment="1" applyProtection="1"/>
    <xf numFmtId="0" fontId="13" fillId="4" borderId="11" xfId="0" applyFont="1" applyFill="1" applyBorder="1" applyAlignment="1" applyProtection="1">
      <alignment horizontal="right" indent="2"/>
    </xf>
    <xf numFmtId="0" fontId="14" fillId="4" borderId="16" xfId="0" applyFont="1" applyFill="1" applyBorder="1" applyAlignment="1" applyProtection="1">
      <alignment horizontal="left" indent="1"/>
    </xf>
    <xf numFmtId="166" fontId="14" fillId="4" borderId="16" xfId="0" applyNumberFormat="1" applyFont="1" applyFill="1" applyBorder="1" applyAlignment="1" applyProtection="1">
      <alignment horizontal="right" indent="1"/>
    </xf>
    <xf numFmtId="170" fontId="14" fillId="4" borderId="16" xfId="0" applyNumberFormat="1" applyFont="1" applyFill="1" applyBorder="1" applyAlignment="1" applyProtection="1">
      <alignment horizontal="right" indent="2"/>
    </xf>
    <xf numFmtId="0" fontId="13" fillId="4" borderId="16" xfId="0" applyFont="1" applyFill="1" applyBorder="1" applyAlignment="1" applyProtection="1">
      <alignment horizontal="right" indent="2"/>
    </xf>
    <xf numFmtId="167" fontId="14" fillId="4" borderId="16" xfId="0" applyNumberFormat="1" applyFont="1" applyFill="1" applyBorder="1" applyAlignment="1" applyProtection="1">
      <alignment horizontal="right" indent="1"/>
    </xf>
    <xf numFmtId="0" fontId="14" fillId="4" borderId="0" xfId="0" applyFont="1" applyFill="1" applyBorder="1" applyAlignment="1" applyProtection="1">
      <alignment horizontal="left" indent="1"/>
    </xf>
    <xf numFmtId="170" fontId="14" fillId="4" borderId="0" xfId="0" applyNumberFormat="1" applyFont="1" applyFill="1" applyBorder="1" applyAlignment="1" applyProtection="1">
      <alignment horizontal="right" indent="2"/>
    </xf>
    <xf numFmtId="0" fontId="13" fillId="4" borderId="0" xfId="0" applyFont="1" applyFill="1" applyBorder="1" applyAlignment="1" applyProtection="1">
      <alignment horizontal="right" indent="2"/>
    </xf>
    <xf numFmtId="0" fontId="13" fillId="4" borderId="0" xfId="0" applyFont="1" applyFill="1" applyBorder="1" applyAlignment="1" applyProtection="1">
      <alignment horizontal="left"/>
    </xf>
    <xf numFmtId="0" fontId="13" fillId="4" borderId="0" xfId="0" applyFont="1" applyFill="1" applyBorder="1" applyAlignment="1" applyProtection="1">
      <alignment horizontal="right" indent="1"/>
    </xf>
    <xf numFmtId="0" fontId="13" fillId="4" borderId="0" xfId="0" applyNumberFormat="1" applyFont="1" applyFill="1" applyBorder="1" applyAlignment="1" applyProtection="1">
      <alignment horizontal="right" indent="2"/>
    </xf>
    <xf numFmtId="166" fontId="14" fillId="4" borderId="21" xfId="0" applyNumberFormat="1" applyFont="1" applyFill="1" applyBorder="1" applyAlignment="1" applyProtection="1">
      <alignment horizontal="right" indent="1"/>
    </xf>
    <xf numFmtId="167" fontId="14" fillId="4" borderId="0" xfId="0" applyNumberFormat="1" applyFont="1" applyFill="1" applyBorder="1" applyAlignment="1" applyProtection="1">
      <alignment horizontal="right" indent="1"/>
    </xf>
    <xf numFmtId="0" fontId="20" fillId="4" borderId="0" xfId="0" applyFont="1" applyFill="1" applyBorder="1" applyAlignment="1" applyProtection="1">
      <alignment horizontal="left" indent="1"/>
    </xf>
    <xf numFmtId="166" fontId="20" fillId="4" borderId="0" xfId="0" applyNumberFormat="1" applyFont="1" applyFill="1" applyBorder="1" applyAlignment="1" applyProtection="1">
      <alignment horizontal="right" indent="1"/>
    </xf>
    <xf numFmtId="0" fontId="20" fillId="4" borderId="0" xfId="0" applyFont="1" applyFill="1" applyBorder="1" applyAlignment="1" applyProtection="1">
      <alignment horizontal="right" indent="2"/>
    </xf>
    <xf numFmtId="0" fontId="20" fillId="4" borderId="0" xfId="0" applyNumberFormat="1" applyFont="1" applyFill="1" applyBorder="1" applyAlignment="1" applyProtection="1">
      <alignment horizontal="right" indent="2"/>
    </xf>
    <xf numFmtId="0" fontId="13" fillId="4" borderId="0" xfId="0" applyFont="1" applyFill="1" applyBorder="1" applyAlignment="1" applyProtection="1"/>
    <xf numFmtId="0" fontId="14" fillId="4" borderId="0" xfId="0" applyFont="1" applyFill="1" applyBorder="1" applyAlignment="1" applyProtection="1">
      <alignment horizontal="left"/>
    </xf>
    <xf numFmtId="166" fontId="20" fillId="4" borderId="0" xfId="0" applyNumberFormat="1" applyFont="1" applyFill="1" applyBorder="1" applyAlignment="1" applyProtection="1">
      <alignment horizontal="right" indent="2"/>
    </xf>
    <xf numFmtId="0" fontId="13" fillId="4" borderId="11" xfId="0" applyFont="1" applyFill="1" applyBorder="1" applyAlignment="1" applyProtection="1">
      <alignment horizontal="right" indent="1"/>
    </xf>
    <xf numFmtId="2" fontId="13" fillId="4" borderId="11" xfId="0" applyNumberFormat="1" applyFont="1" applyFill="1" applyBorder="1" applyAlignment="1" applyProtection="1">
      <alignment horizontal="right" indent="1"/>
    </xf>
    <xf numFmtId="2" fontId="13" fillId="4" borderId="0" xfId="0" applyNumberFormat="1" applyFont="1" applyFill="1" applyAlignment="1" applyProtection="1">
      <alignment horizontal="right" indent="1"/>
    </xf>
    <xf numFmtId="0" fontId="13" fillId="4" borderId="7" xfId="0" applyFont="1" applyFill="1" applyBorder="1" applyAlignment="1" applyProtection="1"/>
    <xf numFmtId="10" fontId="23" fillId="4" borderId="7" xfId="0" applyNumberFormat="1" applyFont="1" applyFill="1" applyBorder="1" applyAlignment="1" applyProtection="1"/>
    <xf numFmtId="0" fontId="13" fillId="4" borderId="7" xfId="0" applyFont="1" applyFill="1" applyBorder="1" applyAlignment="1" applyProtection="1">
      <alignment horizontal="right" indent="1"/>
    </xf>
    <xf numFmtId="0" fontId="21" fillId="2" borderId="0" xfId="0" applyNumberFormat="1" applyFont="1" applyFill="1" applyAlignment="1" applyProtection="1"/>
    <xf numFmtId="0" fontId="13" fillId="2" borderId="13" xfId="0" applyNumberFormat="1" applyFont="1" applyFill="1" applyBorder="1" applyAlignment="1" applyProtection="1">
      <alignment horizontal="fill"/>
    </xf>
    <xf numFmtId="0" fontId="13" fillId="2" borderId="13" xfId="0" applyNumberFormat="1" applyFont="1" applyFill="1" applyBorder="1" applyAlignment="1" applyProtection="1"/>
    <xf numFmtId="0" fontId="13" fillId="2" borderId="12" xfId="0" applyNumberFormat="1" applyFont="1" applyFill="1" applyBorder="1" applyAlignment="1" applyProtection="1"/>
    <xf numFmtId="0" fontId="13" fillId="2" borderId="0" xfId="0" applyNumberFormat="1" applyFont="1" applyFill="1" applyAlignment="1" applyProtection="1">
      <alignment horizontal="right" indent="1"/>
    </xf>
    <xf numFmtId="166" fontId="14" fillId="2" borderId="0" xfId="0" applyNumberFormat="1" applyFont="1" applyFill="1" applyAlignment="1" applyProtection="1">
      <alignment horizontal="right" indent="1"/>
    </xf>
    <xf numFmtId="0" fontId="14" fillId="2" borderId="0" xfId="0" applyNumberFormat="1" applyFont="1" applyFill="1" applyAlignment="1" applyProtection="1">
      <alignment horizontal="right" indent="1"/>
    </xf>
    <xf numFmtId="165" fontId="14" fillId="2" borderId="0" xfId="0" applyNumberFormat="1" applyFont="1" applyFill="1" applyAlignment="1" applyProtection="1">
      <alignment horizontal="right" indent="1"/>
    </xf>
    <xf numFmtId="10" fontId="14" fillId="2" borderId="0" xfId="0" applyNumberFormat="1" applyFont="1" applyFill="1" applyAlignment="1" applyProtection="1">
      <alignment horizontal="right" indent="1"/>
    </xf>
    <xf numFmtId="0" fontId="13" fillId="2" borderId="12" xfId="0" applyNumberFormat="1" applyFont="1" applyFill="1" applyBorder="1" applyAlignment="1" applyProtection="1">
      <alignment horizontal="right" indent="1"/>
    </xf>
    <xf numFmtId="0" fontId="13" fillId="2" borderId="12" xfId="0" applyNumberFormat="1" applyFont="1" applyFill="1" applyBorder="1" applyAlignment="1" applyProtection="1">
      <alignment horizontal="left"/>
    </xf>
    <xf numFmtId="0" fontId="13" fillId="2" borderId="0" xfId="0" applyNumberFormat="1" applyFont="1" applyFill="1" applyAlignment="1" applyProtection="1">
      <alignment horizontal="left"/>
    </xf>
    <xf numFmtId="0" fontId="13" fillId="2" borderId="0" xfId="0" applyNumberFormat="1" applyFont="1" applyFill="1" applyAlignment="1" applyProtection="1">
      <alignment horizontal="center"/>
    </xf>
    <xf numFmtId="167" fontId="14" fillId="2" borderId="0" xfId="0" applyNumberFormat="1" applyFont="1" applyFill="1" applyAlignment="1" applyProtection="1">
      <alignment horizontal="right" indent="1"/>
    </xf>
    <xf numFmtId="0" fontId="20" fillId="5" borderId="0" xfId="0" applyNumberFormat="1" applyFont="1" applyFill="1" applyAlignment="1" applyProtection="1">
      <alignment horizontal="right" indent="1"/>
      <protection locked="0"/>
    </xf>
    <xf numFmtId="165" fontId="20" fillId="5" borderId="0" xfId="0" applyNumberFormat="1" applyFont="1" applyFill="1" applyAlignment="1" applyProtection="1">
      <alignment horizontal="right" indent="1"/>
      <protection locked="0"/>
    </xf>
    <xf numFmtId="167" fontId="20" fillId="5" borderId="0" xfId="0" applyNumberFormat="1" applyFont="1" applyFill="1" applyAlignment="1" applyProtection="1">
      <alignment horizontal="right" indent="1"/>
      <protection locked="0"/>
    </xf>
    <xf numFmtId="167" fontId="20" fillId="5" borderId="12" xfId="0" applyNumberFormat="1" applyFont="1" applyFill="1" applyBorder="1" applyAlignment="1" applyProtection="1">
      <alignment horizontal="right" indent="1"/>
      <protection locked="0"/>
    </xf>
    <xf numFmtId="169" fontId="20" fillId="5" borderId="0" xfId="0" applyNumberFormat="1" applyFont="1" applyFill="1" applyAlignment="1" applyProtection="1">
      <alignment horizontal="right" indent="1"/>
      <protection locked="0"/>
    </xf>
    <xf numFmtId="3" fontId="20" fillId="5" borderId="0" xfId="0" applyNumberFormat="1" applyFont="1" applyFill="1" applyAlignment="1" applyProtection="1">
      <alignment horizontal="right" indent="1"/>
      <protection locked="0"/>
    </xf>
    <xf numFmtId="168" fontId="20" fillId="5" borderId="0" xfId="0" applyNumberFormat="1" applyFont="1" applyFill="1" applyAlignment="1" applyProtection="1">
      <protection locked="0"/>
    </xf>
    <xf numFmtId="167" fontId="20" fillId="5" borderId="0" xfId="0" applyNumberFormat="1" applyFont="1" applyFill="1" applyAlignment="1" applyProtection="1">
      <protection locked="0"/>
    </xf>
    <xf numFmtId="0" fontId="11" fillId="3" borderId="0" xfId="6" applyFont="1" applyFill="1" applyBorder="1"/>
    <xf numFmtId="0" fontId="13" fillId="2" borderId="17" xfId="0" applyNumberFormat="1" applyFont="1" applyFill="1" applyBorder="1" applyAlignment="1" applyProtection="1"/>
    <xf numFmtId="167" fontId="13" fillId="2" borderId="17" xfId="0" applyNumberFormat="1" applyFont="1" applyFill="1" applyBorder="1" applyAlignment="1" applyProtection="1">
      <alignment horizontal="right" indent="1"/>
    </xf>
    <xf numFmtId="0" fontId="13" fillId="2" borderId="7" xfId="0" applyFont="1" applyFill="1" applyBorder="1" applyAlignment="1" applyProtection="1"/>
    <xf numFmtId="166" fontId="13" fillId="2" borderId="7" xfId="0" applyNumberFormat="1" applyFont="1" applyFill="1" applyBorder="1" applyAlignment="1" applyProtection="1"/>
    <xf numFmtId="0" fontId="13" fillId="2" borderId="7" xfId="0" applyFont="1" applyFill="1" applyBorder="1" applyAlignment="1" applyProtection="1">
      <alignment horizontal="right"/>
    </xf>
    <xf numFmtId="167" fontId="14" fillId="2" borderId="7" xfId="0" applyNumberFormat="1" applyFont="1" applyFill="1" applyBorder="1" applyAlignment="1" applyProtection="1">
      <alignment horizontal="right" indent="1"/>
    </xf>
    <xf numFmtId="0" fontId="24" fillId="2" borderId="0" xfId="0" applyFont="1" applyFill="1" applyBorder="1" applyAlignment="1" applyProtection="1">
      <alignment horizontal="center"/>
    </xf>
    <xf numFmtId="167" fontId="20" fillId="5" borderId="0" xfId="0" applyNumberFormat="1" applyFont="1" applyFill="1" applyBorder="1" applyAlignment="1" applyProtection="1">
      <alignment horizontal="right" indent="1"/>
      <protection locked="0"/>
    </xf>
    <xf numFmtId="0" fontId="13" fillId="2" borderId="11" xfId="0" applyFont="1" applyFill="1" applyBorder="1" applyAlignment="1" applyProtection="1"/>
    <xf numFmtId="9" fontId="13" fillId="2" borderId="11" xfId="0" applyNumberFormat="1" applyFont="1" applyFill="1" applyBorder="1" applyAlignment="1" applyProtection="1"/>
    <xf numFmtId="167" fontId="13" fillId="2" borderId="11" xfId="0" applyNumberFormat="1" applyFont="1" applyFill="1" applyBorder="1" applyAlignment="1" applyProtection="1"/>
    <xf numFmtId="0" fontId="13" fillId="2" borderId="14" xfId="0" applyFont="1" applyFill="1" applyBorder="1" applyAlignment="1" applyProtection="1"/>
    <xf numFmtId="9" fontId="13" fillId="2" borderId="14" xfId="0" applyNumberFormat="1" applyFont="1" applyFill="1" applyBorder="1" applyAlignment="1" applyProtection="1">
      <alignment horizontal="center"/>
    </xf>
    <xf numFmtId="167" fontId="13" fillId="2" borderId="14" xfId="0" applyNumberFormat="1" applyFont="1" applyFill="1" applyBorder="1" applyAlignment="1" applyProtection="1">
      <alignment horizontal="right"/>
    </xf>
    <xf numFmtId="2" fontId="13" fillId="2" borderId="14" xfId="0" applyNumberFormat="1" applyFont="1" applyFill="1" applyBorder="1" applyAlignment="1" applyProtection="1">
      <alignment horizontal="right"/>
    </xf>
    <xf numFmtId="0" fontId="14" fillId="2" borderId="0" xfId="6" applyFont="1" applyFill="1" applyAlignment="1">
      <alignment wrapText="1"/>
    </xf>
    <xf numFmtId="0" fontId="14" fillId="0" borderId="0" xfId="6" applyFont="1" applyFill="1" applyAlignment="1">
      <alignment wrapText="1"/>
    </xf>
    <xf numFmtId="0" fontId="20" fillId="5" borderId="0" xfId="0" applyNumberFormat="1" applyFont="1" applyFill="1" applyAlignment="1" applyProtection="1">
      <protection locked="0"/>
    </xf>
    <xf numFmtId="0" fontId="0" fillId="0" borderId="0" xfId="0" applyAlignment="1" applyProtection="1">
      <protection locked="0"/>
    </xf>
  </cellXfs>
  <cellStyles count="8">
    <cellStyle name="Hyperlink 2" xfId="1"/>
    <cellStyle name="Hyperlink 3" xfId="2"/>
    <cellStyle name="Normal" xfId="0" builtinId="0"/>
    <cellStyle name="Normal 2" xfId="3"/>
    <cellStyle name="Normal 3" xfId="4"/>
    <cellStyle name="Normal 4" xfId="5"/>
    <cellStyle name="Normal_KSU-Lease" xfId="6"/>
    <cellStyle name="Percent 2" xfId="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image" Target="../media/image2.jpeg"/><Relationship Id="rId7" Type="http://schemas.openxmlformats.org/officeDocument/2006/relationships/hyperlink" Target="http://agecon.okstate.edu/faculty/profile.asp?id=damona.doye&amp;type=faculty" TargetMode="External"/><Relationship Id="rId2" Type="http://schemas.openxmlformats.org/officeDocument/2006/relationships/image" Target="../media/image1.jpeg"/><Relationship Id="rId1" Type="http://schemas.openxmlformats.org/officeDocument/2006/relationships/hyperlink" Target="http://www.agmanager.info/" TargetMode="External"/><Relationship Id="rId6" Type="http://schemas.openxmlformats.org/officeDocument/2006/relationships/image" Target="../media/image5.jpeg"/><Relationship Id="rId5" Type="http://schemas.openxmlformats.org/officeDocument/2006/relationships/image" Target="../media/image4.jpeg"/><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4</xdr:col>
      <xdr:colOff>152400</xdr:colOff>
      <xdr:row>28</xdr:row>
      <xdr:rowOff>0</xdr:rowOff>
    </xdr:from>
    <xdr:to>
      <xdr:col>6</xdr:col>
      <xdr:colOff>285750</xdr:colOff>
      <xdr:row>31</xdr:row>
      <xdr:rowOff>161925</xdr:rowOff>
    </xdr:to>
    <xdr:pic>
      <xdr:nvPicPr>
        <xdr:cNvPr id="2314" name="Picture 1" descr="AgManagerLogo_Print">
          <a:hlinkClick xmlns:r="http://schemas.openxmlformats.org/officeDocument/2006/relationships" r:id="rId1"/>
          <a:extLst>
            <a:ext uri="{FF2B5EF4-FFF2-40B4-BE49-F238E27FC236}">
              <a16:creationId xmlns:a16="http://schemas.microsoft.com/office/drawing/2014/main" id="{FE2A5FB0-E939-41A7-9FDD-6D664E44E7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90800" y="5219700"/>
          <a:ext cx="1371600" cy="733425"/>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447675</xdr:colOff>
      <xdr:row>35</xdr:row>
      <xdr:rowOff>28575</xdr:rowOff>
    </xdr:from>
    <xdr:to>
      <xdr:col>6</xdr:col>
      <xdr:colOff>400050</xdr:colOff>
      <xdr:row>40</xdr:row>
      <xdr:rowOff>171450</xdr:rowOff>
    </xdr:to>
    <xdr:pic>
      <xdr:nvPicPr>
        <xdr:cNvPr id="2315" name="Picture 2">
          <a:extLst>
            <a:ext uri="{FF2B5EF4-FFF2-40B4-BE49-F238E27FC236}">
              <a16:creationId xmlns:a16="http://schemas.microsoft.com/office/drawing/2014/main" id="{0291DFA6-CFB4-4106-941B-0A2FF6718E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66950" y="6448425"/>
          <a:ext cx="18097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35</xdr:row>
      <xdr:rowOff>28575</xdr:rowOff>
    </xdr:from>
    <xdr:to>
      <xdr:col>3</xdr:col>
      <xdr:colOff>447675</xdr:colOff>
      <xdr:row>40</xdr:row>
      <xdr:rowOff>171450</xdr:rowOff>
    </xdr:to>
    <xdr:pic>
      <xdr:nvPicPr>
        <xdr:cNvPr id="2316" name="Picture 3">
          <a:extLst>
            <a:ext uri="{FF2B5EF4-FFF2-40B4-BE49-F238E27FC236}">
              <a16:creationId xmlns:a16="http://schemas.microsoft.com/office/drawing/2014/main" id="{AA3B1186-FE13-45EA-AB85-BE2C9BED861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90550" y="6448425"/>
          <a:ext cx="16764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333375</xdr:colOff>
      <xdr:row>35</xdr:row>
      <xdr:rowOff>28575</xdr:rowOff>
    </xdr:from>
    <xdr:to>
      <xdr:col>9</xdr:col>
      <xdr:colOff>171450</xdr:colOff>
      <xdr:row>40</xdr:row>
      <xdr:rowOff>171450</xdr:rowOff>
    </xdr:to>
    <xdr:pic>
      <xdr:nvPicPr>
        <xdr:cNvPr id="2317" name="Picture 4">
          <a:extLst>
            <a:ext uri="{FF2B5EF4-FFF2-40B4-BE49-F238E27FC236}">
              <a16:creationId xmlns:a16="http://schemas.microsoft.com/office/drawing/2014/main" id="{952B1CD7-303E-4AC1-AC89-2406AD01E84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010025" y="6448425"/>
          <a:ext cx="1695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171450</xdr:colOff>
      <xdr:row>35</xdr:row>
      <xdr:rowOff>28575</xdr:rowOff>
    </xdr:from>
    <xdr:to>
      <xdr:col>12</xdr:col>
      <xdr:colOff>9525</xdr:colOff>
      <xdr:row>40</xdr:row>
      <xdr:rowOff>171450</xdr:rowOff>
    </xdr:to>
    <xdr:pic>
      <xdr:nvPicPr>
        <xdr:cNvPr id="2318" name="Picture 7">
          <a:extLst>
            <a:ext uri="{FF2B5EF4-FFF2-40B4-BE49-F238E27FC236}">
              <a16:creationId xmlns:a16="http://schemas.microsoft.com/office/drawing/2014/main" id="{53B03EB5-DA6C-4447-B88A-3CCAB59A19DB}"/>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705475" y="6448425"/>
          <a:ext cx="16954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314325</xdr:colOff>
      <xdr:row>23</xdr:row>
      <xdr:rowOff>171450</xdr:rowOff>
    </xdr:from>
    <xdr:to>
      <xdr:col>11</xdr:col>
      <xdr:colOff>495300</xdr:colOff>
      <xdr:row>28</xdr:row>
      <xdr:rowOff>57150</xdr:rowOff>
    </xdr:to>
    <xdr:pic>
      <xdr:nvPicPr>
        <xdr:cNvPr id="2319" name="Picture 1" descr="Extensionlogo">
          <a:hlinkClick xmlns:r="http://schemas.openxmlformats.org/officeDocument/2006/relationships" r:id="rId7"/>
          <a:extLst>
            <a:ext uri="{FF2B5EF4-FFF2-40B4-BE49-F238E27FC236}">
              <a16:creationId xmlns:a16="http://schemas.microsoft.com/office/drawing/2014/main" id="{F01F609A-CD8A-4021-86CD-49C020BC1CC7}"/>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467475" y="4505325"/>
          <a:ext cx="80010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42"/>
  <sheetViews>
    <sheetView tabSelected="1" zoomScaleNormal="100" workbookViewId="0"/>
  </sheetViews>
  <sheetFormatPr defaultColWidth="7.21875" defaultRowHeight="15"/>
  <cols>
    <col min="1" max="1" width="6.77734375" style="6" customWidth="1"/>
    <col min="2" max="16384" width="7.21875" style="6"/>
  </cols>
  <sheetData>
    <row r="1" spans="1:14" ht="15.75" thickBot="1">
      <c r="A1" s="5"/>
      <c r="B1" s="5"/>
      <c r="C1" s="5"/>
      <c r="D1" s="5"/>
      <c r="E1" s="5"/>
      <c r="F1" s="5"/>
      <c r="G1" s="5"/>
      <c r="H1" s="5"/>
      <c r="I1" s="5"/>
      <c r="J1" s="5"/>
      <c r="K1" s="5"/>
      <c r="L1" s="5"/>
      <c r="M1" s="5"/>
      <c r="N1" s="5"/>
    </row>
    <row r="2" spans="1:14" ht="9.9499999999999993" customHeight="1">
      <c r="A2" s="5"/>
      <c r="B2" s="7"/>
      <c r="C2" s="8"/>
      <c r="D2" s="8"/>
      <c r="E2" s="8"/>
      <c r="F2" s="8"/>
      <c r="G2" s="8"/>
      <c r="H2" s="8"/>
      <c r="I2" s="8"/>
      <c r="J2" s="8"/>
      <c r="K2" s="8"/>
      <c r="L2" s="9"/>
      <c r="M2" s="5"/>
      <c r="N2" s="5"/>
    </row>
    <row r="3" spans="1:14" ht="15.75">
      <c r="A3" s="5"/>
      <c r="B3" s="10"/>
      <c r="C3" s="231" t="s">
        <v>229</v>
      </c>
      <c r="D3" s="11"/>
      <c r="E3" s="11"/>
      <c r="F3" s="11"/>
      <c r="G3" s="11"/>
      <c r="H3" s="11"/>
      <c r="I3" s="11"/>
      <c r="J3" s="11"/>
      <c r="K3" s="11"/>
      <c r="L3" s="12"/>
      <c r="M3" s="5"/>
      <c r="N3" s="5"/>
    </row>
    <row r="4" spans="1:14" ht="15.75">
      <c r="A4" s="5"/>
      <c r="B4" s="10"/>
      <c r="C4" s="11"/>
      <c r="D4" s="11"/>
      <c r="E4" s="18" t="s">
        <v>230</v>
      </c>
      <c r="F4" s="11"/>
      <c r="G4" s="11"/>
      <c r="H4" s="11"/>
      <c r="I4" s="11"/>
      <c r="J4" s="11"/>
      <c r="K4" s="11"/>
      <c r="L4" s="12"/>
      <c r="M4" s="5"/>
      <c r="N4" s="5"/>
    </row>
    <row r="5" spans="1:14" ht="15.75" thickBot="1">
      <c r="A5" s="5"/>
      <c r="B5" s="13"/>
      <c r="C5" s="19" t="s">
        <v>226</v>
      </c>
      <c r="D5" s="14"/>
      <c r="E5" s="14"/>
      <c r="F5" s="14"/>
      <c r="G5" s="14"/>
      <c r="H5" s="14"/>
      <c r="I5" s="14"/>
      <c r="J5" s="14"/>
      <c r="K5" s="14"/>
      <c r="L5" s="15"/>
      <c r="M5" s="5"/>
      <c r="N5" s="5"/>
    </row>
    <row r="6" spans="1:14">
      <c r="A6" s="5"/>
      <c r="B6" s="5"/>
      <c r="C6" s="5"/>
      <c r="D6" s="5"/>
      <c r="E6" s="5"/>
      <c r="F6" s="5"/>
      <c r="G6" s="5"/>
      <c r="H6" s="5"/>
      <c r="I6" s="5"/>
      <c r="J6" s="5"/>
      <c r="K6" s="5"/>
      <c r="L6" s="5"/>
      <c r="M6" s="5"/>
      <c r="N6" s="5"/>
    </row>
    <row r="7" spans="1:14">
      <c r="A7" s="5"/>
      <c r="B7" s="20" t="s">
        <v>156</v>
      </c>
      <c r="C7" s="20"/>
      <c r="D7" s="5"/>
      <c r="E7" s="5"/>
      <c r="F7" s="5"/>
      <c r="G7" s="5"/>
      <c r="H7" s="5"/>
      <c r="I7" s="5"/>
      <c r="J7" s="5"/>
      <c r="K7" s="5"/>
      <c r="L7" s="5"/>
      <c r="M7" s="5"/>
      <c r="N7" s="5"/>
    </row>
    <row r="8" spans="1:14">
      <c r="A8" s="5"/>
      <c r="B8" s="247" t="s">
        <v>173</v>
      </c>
      <c r="C8" s="247"/>
      <c r="D8" s="247"/>
      <c r="E8" s="247"/>
      <c r="F8" s="247"/>
      <c r="G8" s="247"/>
      <c r="H8" s="247"/>
      <c r="I8" s="247"/>
      <c r="J8" s="247"/>
      <c r="K8" s="247"/>
      <c r="L8" s="247"/>
      <c r="M8" s="5"/>
      <c r="N8" s="5"/>
    </row>
    <row r="9" spans="1:14">
      <c r="A9" s="5"/>
      <c r="B9" s="247"/>
      <c r="C9" s="247"/>
      <c r="D9" s="247"/>
      <c r="E9" s="247"/>
      <c r="F9" s="247"/>
      <c r="G9" s="247"/>
      <c r="H9" s="247"/>
      <c r="I9" s="247"/>
      <c r="J9" s="247"/>
      <c r="K9" s="247"/>
      <c r="L9" s="247"/>
      <c r="M9" s="5"/>
      <c r="N9" s="5"/>
    </row>
    <row r="10" spans="1:14">
      <c r="A10" s="5"/>
      <c r="B10" s="247"/>
      <c r="C10" s="247"/>
      <c r="D10" s="247"/>
      <c r="E10" s="247"/>
      <c r="F10" s="247"/>
      <c r="G10" s="247"/>
      <c r="H10" s="247"/>
      <c r="I10" s="247"/>
      <c r="J10" s="247"/>
      <c r="K10" s="247"/>
      <c r="L10" s="247"/>
      <c r="M10" s="5"/>
      <c r="N10" s="5"/>
    </row>
    <row r="11" spans="1:14">
      <c r="A11" s="5"/>
      <c r="B11" s="21"/>
      <c r="C11" s="21"/>
      <c r="D11" s="21"/>
      <c r="E11" s="21"/>
      <c r="F11" s="21"/>
      <c r="G11" s="21"/>
      <c r="H11" s="21"/>
      <c r="I11" s="21"/>
      <c r="J11" s="21"/>
      <c r="K11" s="21"/>
      <c r="L11" s="21"/>
      <c r="M11" s="5"/>
      <c r="N11" s="5"/>
    </row>
    <row r="12" spans="1:14">
      <c r="A12" s="5"/>
      <c r="B12" s="20" t="s">
        <v>157</v>
      </c>
      <c r="D12" s="5"/>
      <c r="E12" s="5"/>
      <c r="F12" s="5"/>
      <c r="G12" s="5"/>
      <c r="H12" s="5"/>
      <c r="I12" s="5"/>
      <c r="J12" s="5"/>
      <c r="K12" s="5"/>
      <c r="L12" s="5"/>
      <c r="M12" s="5"/>
      <c r="N12" s="5"/>
    </row>
    <row r="13" spans="1:14">
      <c r="A13" s="5"/>
      <c r="B13" s="248" t="s">
        <v>225</v>
      </c>
      <c r="C13" s="248"/>
      <c r="D13" s="248"/>
      <c r="E13" s="248"/>
      <c r="F13" s="248"/>
      <c r="G13" s="248"/>
      <c r="H13" s="248"/>
      <c r="I13" s="248"/>
      <c r="J13" s="248"/>
      <c r="K13" s="248"/>
      <c r="L13" s="248"/>
      <c r="M13" s="5"/>
      <c r="N13" s="5"/>
    </row>
    <row r="14" spans="1:14">
      <c r="A14" s="5"/>
      <c r="B14" s="248"/>
      <c r="C14" s="248"/>
      <c r="D14" s="248"/>
      <c r="E14" s="248"/>
      <c r="F14" s="248"/>
      <c r="G14" s="248"/>
      <c r="H14" s="248"/>
      <c r="I14" s="248"/>
      <c r="J14" s="248"/>
      <c r="K14" s="248"/>
      <c r="L14" s="248"/>
      <c r="M14" s="5"/>
      <c r="N14" s="5"/>
    </row>
    <row r="15" spans="1:14">
      <c r="A15" s="5"/>
      <c r="B15" s="248"/>
      <c r="C15" s="248"/>
      <c r="D15" s="248"/>
      <c r="E15" s="248"/>
      <c r="F15" s="248"/>
      <c r="G15" s="248"/>
      <c r="H15" s="248"/>
      <c r="I15" s="248"/>
      <c r="J15" s="248"/>
      <c r="K15" s="248"/>
      <c r="L15" s="248"/>
      <c r="N15" s="5"/>
    </row>
    <row r="16" spans="1:14">
      <c r="A16" s="5"/>
      <c r="N16" s="5"/>
    </row>
    <row r="17" spans="1:14">
      <c r="A17" s="5"/>
      <c r="B17" s="20" t="s">
        <v>158</v>
      </c>
      <c r="C17" s="5"/>
      <c r="D17" s="5"/>
      <c r="F17" s="5"/>
      <c r="G17" s="5"/>
      <c r="H17" s="5"/>
      <c r="I17" s="5"/>
      <c r="J17" s="5"/>
      <c r="K17" s="5"/>
      <c r="L17" s="5"/>
      <c r="N17" s="5"/>
    </row>
    <row r="18" spans="1:14">
      <c r="A18" s="5"/>
      <c r="B18" s="248" t="s">
        <v>227</v>
      </c>
      <c r="C18" s="248"/>
      <c r="D18" s="248"/>
      <c r="E18" s="248"/>
      <c r="F18" s="248"/>
      <c r="G18" s="248"/>
      <c r="H18" s="248"/>
      <c r="I18" s="248"/>
      <c r="J18" s="248"/>
      <c r="K18" s="248"/>
      <c r="L18" s="248"/>
      <c r="M18" s="5"/>
      <c r="N18" s="5"/>
    </row>
    <row r="19" spans="1:14" ht="13.5" customHeight="1">
      <c r="A19" s="5"/>
      <c r="B19" s="248"/>
      <c r="C19" s="248"/>
      <c r="D19" s="248"/>
      <c r="E19" s="248"/>
      <c r="F19" s="248"/>
      <c r="G19" s="248"/>
      <c r="H19" s="248"/>
      <c r="I19" s="248"/>
      <c r="J19" s="248"/>
      <c r="K19" s="248"/>
      <c r="L19" s="248"/>
      <c r="M19" s="5"/>
      <c r="N19" s="5"/>
    </row>
    <row r="20" spans="1:14">
      <c r="A20" s="5"/>
      <c r="B20" s="248"/>
      <c r="C20" s="248"/>
      <c r="D20" s="248"/>
      <c r="E20" s="248"/>
      <c r="F20" s="248"/>
      <c r="G20" s="248"/>
      <c r="H20" s="248"/>
      <c r="I20" s="248"/>
      <c r="J20" s="248"/>
      <c r="K20" s="248"/>
      <c r="L20" s="248"/>
      <c r="M20" s="5"/>
      <c r="N20" s="5"/>
    </row>
    <row r="21" spans="1:14">
      <c r="A21" s="5"/>
      <c r="B21" s="248"/>
      <c r="C21" s="248"/>
      <c r="D21" s="248"/>
      <c r="E21" s="248"/>
      <c r="F21" s="248"/>
      <c r="G21" s="248"/>
      <c r="H21" s="248"/>
      <c r="I21" s="248"/>
      <c r="J21" s="248"/>
      <c r="K21" s="248"/>
      <c r="L21" s="248"/>
      <c r="M21" s="5"/>
      <c r="N21" s="5"/>
    </row>
    <row r="22" spans="1:14">
      <c r="A22" s="5"/>
      <c r="B22" s="248"/>
      <c r="C22" s="248"/>
      <c r="D22" s="248"/>
      <c r="E22" s="248"/>
      <c r="F22" s="248"/>
      <c r="G22" s="248"/>
      <c r="H22" s="248"/>
      <c r="I22" s="248"/>
      <c r="J22" s="248"/>
      <c r="K22" s="248"/>
      <c r="L22" s="248"/>
      <c r="M22" s="5"/>
      <c r="N22" s="5"/>
    </row>
    <row r="23" spans="1:14">
      <c r="A23" s="5"/>
      <c r="B23" s="22"/>
      <c r="C23" s="22"/>
      <c r="D23" s="22"/>
      <c r="E23" s="22"/>
      <c r="F23" s="22"/>
      <c r="G23" s="22"/>
      <c r="H23" s="22"/>
      <c r="I23" s="22"/>
      <c r="J23" s="22"/>
      <c r="K23" s="22"/>
      <c r="L23" s="22"/>
      <c r="M23" s="5"/>
      <c r="N23" s="5"/>
    </row>
    <row r="24" spans="1:14">
      <c r="A24" s="5"/>
      <c r="B24" s="20" t="s">
        <v>216</v>
      </c>
      <c r="C24" s="5"/>
      <c r="J24" s="5"/>
      <c r="K24" s="5"/>
      <c r="L24" s="5"/>
      <c r="M24" s="5"/>
      <c r="N24" s="5"/>
    </row>
    <row r="25" spans="1:14">
      <c r="A25" s="5"/>
      <c r="B25" s="5" t="s">
        <v>218</v>
      </c>
      <c r="C25" s="5"/>
      <c r="F25" s="5"/>
      <c r="G25" s="5"/>
      <c r="H25" s="5" t="s">
        <v>219</v>
      </c>
      <c r="J25" s="5"/>
      <c r="K25" s="5"/>
      <c r="L25" s="5"/>
      <c r="M25" s="5"/>
      <c r="N25" s="5"/>
    </row>
    <row r="26" spans="1:14">
      <c r="A26" s="5"/>
      <c r="B26" s="5" t="s">
        <v>154</v>
      </c>
      <c r="C26" s="5"/>
      <c r="F26" s="5"/>
      <c r="G26" s="5"/>
      <c r="H26" s="5" t="s">
        <v>154</v>
      </c>
      <c r="J26" s="5"/>
      <c r="K26" s="5"/>
      <c r="L26" s="5"/>
      <c r="M26" s="5"/>
      <c r="N26" s="5"/>
    </row>
    <row r="27" spans="1:14">
      <c r="A27" s="5"/>
      <c r="B27" s="5" t="s">
        <v>155</v>
      </c>
      <c r="C27" s="5"/>
      <c r="F27" s="5"/>
      <c r="G27" s="5"/>
      <c r="H27" s="5" t="s">
        <v>213</v>
      </c>
      <c r="J27" s="5"/>
      <c r="K27" s="5"/>
      <c r="L27" s="5"/>
      <c r="M27" s="5"/>
      <c r="N27" s="5"/>
    </row>
    <row r="28" spans="1:14" ht="9.9499999999999993" customHeight="1">
      <c r="A28" s="5"/>
      <c r="B28" s="5"/>
      <c r="C28" s="5"/>
      <c r="F28" s="5"/>
      <c r="G28" s="5"/>
      <c r="H28" s="5"/>
      <c r="J28" s="5"/>
      <c r="K28" s="5"/>
      <c r="L28" s="5"/>
      <c r="M28" s="5"/>
      <c r="N28" s="5"/>
    </row>
    <row r="29" spans="1:14">
      <c r="A29" s="5"/>
      <c r="B29" s="5" t="s">
        <v>159</v>
      </c>
      <c r="C29" s="5"/>
      <c r="F29" s="5"/>
      <c r="G29" s="5"/>
      <c r="H29" s="5" t="s">
        <v>212</v>
      </c>
      <c r="J29" s="5"/>
      <c r="K29" s="5"/>
      <c r="L29" s="5"/>
      <c r="M29" s="5"/>
      <c r="N29" s="5"/>
    </row>
    <row r="30" spans="1:14">
      <c r="A30" s="5"/>
      <c r="B30" s="5" t="s">
        <v>160</v>
      </c>
      <c r="C30" s="5"/>
      <c r="F30" s="5"/>
      <c r="G30" s="5"/>
      <c r="H30" s="5" t="s">
        <v>214</v>
      </c>
      <c r="J30" s="5"/>
      <c r="K30" s="5"/>
      <c r="L30" s="5"/>
      <c r="M30" s="5"/>
      <c r="N30" s="5"/>
    </row>
    <row r="31" spans="1:14">
      <c r="A31" s="5"/>
      <c r="B31" s="5" t="s">
        <v>161</v>
      </c>
      <c r="C31" s="5"/>
      <c r="F31" s="5"/>
      <c r="G31" s="5"/>
      <c r="H31" s="5" t="s">
        <v>215</v>
      </c>
      <c r="J31" s="5"/>
      <c r="K31" s="5"/>
      <c r="L31" s="5"/>
      <c r="M31" s="5"/>
      <c r="N31" s="5"/>
    </row>
    <row r="32" spans="1:14">
      <c r="A32" s="5"/>
      <c r="B32" s="5" t="s">
        <v>162</v>
      </c>
      <c r="E32" s="5"/>
      <c r="F32" s="5"/>
      <c r="G32" s="5"/>
      <c r="H32" s="5" t="s">
        <v>217</v>
      </c>
      <c r="J32" s="5"/>
      <c r="K32" s="5"/>
      <c r="L32" s="5"/>
      <c r="M32" s="5"/>
      <c r="N32" s="5"/>
    </row>
    <row r="33" spans="2:13" ht="9.9499999999999993" customHeight="1"/>
    <row r="34" spans="2:13">
      <c r="B34" s="16" t="s">
        <v>228</v>
      </c>
      <c r="C34" s="23"/>
      <c r="D34" s="23"/>
      <c r="E34" s="24"/>
      <c r="F34" s="23"/>
      <c r="G34" s="23"/>
      <c r="H34" s="23"/>
      <c r="I34" s="23"/>
      <c r="J34" s="23"/>
      <c r="K34" s="23"/>
      <c r="L34" s="23"/>
    </row>
    <row r="35" spans="2:13" ht="9.9499999999999993" customHeight="1" thickBot="1">
      <c r="B35" s="25"/>
      <c r="C35" s="25"/>
      <c r="D35" s="25"/>
      <c r="E35" s="26"/>
      <c r="F35" s="25"/>
      <c r="G35" s="25"/>
      <c r="H35" s="25"/>
      <c r="I35" s="25"/>
      <c r="J35" s="25"/>
      <c r="K35" s="25"/>
      <c r="L35" s="25"/>
    </row>
    <row r="36" spans="2:13" ht="15.75" customHeight="1" thickTop="1">
      <c r="B36" s="27"/>
      <c r="C36" s="27"/>
      <c r="D36" s="27"/>
      <c r="E36" s="27"/>
      <c r="F36" s="27"/>
      <c r="G36" s="27"/>
      <c r="H36" s="27"/>
      <c r="I36" s="27"/>
      <c r="J36" s="27"/>
      <c r="K36" s="27"/>
      <c r="L36" s="27"/>
    </row>
    <row r="37" spans="2:13" ht="15.75" customHeight="1">
      <c r="B37" s="28"/>
      <c r="C37" s="28"/>
      <c r="D37" s="28"/>
      <c r="E37" s="28"/>
      <c r="F37" s="28"/>
      <c r="G37" s="28"/>
      <c r="H37" s="28"/>
      <c r="I37" s="28"/>
      <c r="J37" s="28"/>
      <c r="K37" s="28"/>
      <c r="L37" s="28"/>
    </row>
    <row r="38" spans="2:13" ht="15.75" customHeight="1"/>
    <row r="39" spans="2:13" ht="15.75" customHeight="1"/>
    <row r="40" spans="2:13" ht="15.75" customHeight="1"/>
    <row r="41" spans="2:13" s="17" customFormat="1" ht="15.75" customHeight="1" thickBot="1">
      <c r="B41" s="29"/>
      <c r="C41" s="29"/>
      <c r="D41" s="29"/>
      <c r="E41" s="30"/>
      <c r="F41" s="29"/>
      <c r="G41" s="29"/>
      <c r="H41" s="29"/>
      <c r="I41" s="29"/>
      <c r="J41" s="29"/>
      <c r="K41" s="29"/>
      <c r="L41" s="29"/>
      <c r="M41" s="6"/>
    </row>
    <row r="42" spans="2:13" ht="15.75" thickTop="1"/>
  </sheetData>
  <sheetProtection password="C4C7" sheet="1"/>
  <mergeCells count="3">
    <mergeCell ref="B8:L10"/>
    <mergeCell ref="B13:L15"/>
    <mergeCell ref="B18:L22"/>
  </mergeCells>
  <phoneticPr fontId="3" type="noConversion"/>
  <pageMargins left="0.75" right="0.75" top="1" bottom="1" header="0.5" footer="0.5"/>
  <pageSetup scale="74" orientation="portrait" r:id="rId1"/>
  <headerFooter alignWithMargins="0">
    <oddFooter>&amp;C&amp;"Calibri,Regular"&amp;11&amp;F
Developed by Kevin C. Dhuyvetter and Damona Doye
Kansas State University and Oklahoma State University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R102"/>
  <sheetViews>
    <sheetView showOutlineSymbols="0" zoomScaleNormal="100" workbookViewId="0"/>
  </sheetViews>
  <sheetFormatPr defaultColWidth="9.6640625" defaultRowHeight="15"/>
  <cols>
    <col min="1" max="1" width="6.77734375" style="2" customWidth="1"/>
    <col min="2" max="2" width="3.6640625" style="2" customWidth="1"/>
    <col min="3" max="3" width="8.6640625" style="2" customWidth="1"/>
    <col min="4" max="4" width="5.6640625" style="2" customWidth="1"/>
    <col min="5" max="5" width="9.6640625" style="2" customWidth="1"/>
    <col min="6" max="6" width="7.6640625" style="2" customWidth="1"/>
    <col min="7" max="7" width="8.6640625" style="2" customWidth="1"/>
    <col min="8" max="8" width="4.6640625" style="2" customWidth="1"/>
    <col min="9" max="9" width="9.6640625" style="2" customWidth="1"/>
    <col min="10" max="10" width="5.6640625" style="2" customWidth="1"/>
    <col min="11" max="11" width="10.6640625" style="2" customWidth="1"/>
    <col min="12" max="12" width="9.6640625" style="2" customWidth="1"/>
    <col min="13" max="16384" width="9.6640625" style="2"/>
  </cols>
  <sheetData>
    <row r="1" spans="1:252">
      <c r="A1" s="3"/>
      <c r="B1" s="3"/>
      <c r="C1" s="3"/>
      <c r="D1" s="3"/>
      <c r="E1" s="3"/>
      <c r="F1" s="3"/>
      <c r="G1" s="3"/>
      <c r="H1" s="3"/>
      <c r="I1" s="3"/>
      <c r="J1" s="3"/>
      <c r="K1" s="3"/>
      <c r="L1" s="3"/>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row>
    <row r="2" spans="1:252" ht="15.75">
      <c r="A2" s="3"/>
      <c r="B2" s="209" t="s">
        <v>0</v>
      </c>
      <c r="C2" s="3"/>
      <c r="D2" s="3"/>
      <c r="E2" s="3"/>
      <c r="F2" s="3"/>
      <c r="G2" s="3"/>
      <c r="H2" s="3"/>
      <c r="I2" s="3"/>
      <c r="J2" s="3"/>
      <c r="K2" s="3"/>
      <c r="L2" s="3"/>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row>
    <row r="3" spans="1:252" ht="9.9499999999999993" customHeight="1">
      <c r="A3" s="3"/>
      <c r="B3" s="210"/>
      <c r="C3" s="210"/>
      <c r="D3" s="210"/>
      <c r="E3" s="210"/>
      <c r="F3" s="210"/>
      <c r="G3" s="210"/>
      <c r="H3" s="210"/>
      <c r="I3" s="210"/>
      <c r="J3" s="210"/>
      <c r="K3" s="210"/>
      <c r="L3" s="3"/>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row>
    <row r="4" spans="1:252">
      <c r="A4" s="3"/>
      <c r="B4" s="3" t="s">
        <v>1</v>
      </c>
      <c r="C4" s="3"/>
      <c r="D4" s="3"/>
      <c r="E4" s="3"/>
      <c r="F4" s="3"/>
      <c r="G4" s="3"/>
      <c r="H4" s="3"/>
      <c r="I4" s="3"/>
      <c r="J4" s="3"/>
      <c r="K4" s="223">
        <v>1</v>
      </c>
      <c r="L4" s="3"/>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row>
    <row r="5" spans="1:252">
      <c r="A5" s="3"/>
      <c r="B5" s="3"/>
      <c r="C5" s="3" t="s">
        <v>2</v>
      </c>
      <c r="D5" s="3"/>
      <c r="E5" s="3"/>
      <c r="F5" s="3"/>
      <c r="G5" s="3"/>
      <c r="H5" s="3"/>
      <c r="I5" s="3"/>
      <c r="J5" s="3"/>
      <c r="K5" s="213"/>
      <c r="L5" s="3"/>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row>
    <row r="6" spans="1:252">
      <c r="A6" s="3"/>
      <c r="B6" s="3"/>
      <c r="C6" s="3" t="s">
        <v>3</v>
      </c>
      <c r="D6" s="3"/>
      <c r="E6" s="3"/>
      <c r="F6" s="3"/>
      <c r="G6" s="3"/>
      <c r="H6" s="3"/>
      <c r="I6" s="3"/>
      <c r="J6" s="3"/>
      <c r="K6" s="213"/>
      <c r="L6" s="3"/>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row>
    <row r="7" spans="1:252">
      <c r="A7" s="3"/>
      <c r="B7" s="3"/>
      <c r="C7" s="3"/>
      <c r="D7" s="3"/>
      <c r="E7" s="3"/>
      <c r="F7" s="3"/>
      <c r="G7" s="3"/>
      <c r="H7" s="3"/>
      <c r="I7" s="3"/>
      <c r="J7" s="3"/>
      <c r="K7" s="213"/>
      <c r="L7" s="3"/>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row>
    <row r="8" spans="1:252">
      <c r="A8" s="3"/>
      <c r="B8" s="3" t="s">
        <v>210</v>
      </c>
      <c r="C8" s="3"/>
      <c r="D8" s="3"/>
      <c r="E8" s="3"/>
      <c r="F8" s="3"/>
      <c r="G8" s="3"/>
      <c r="H8" s="3"/>
      <c r="I8" s="3"/>
      <c r="J8" s="3"/>
      <c r="K8" s="213"/>
      <c r="L8" s="3"/>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row>
    <row r="9" spans="1:252">
      <c r="A9" s="3"/>
      <c r="B9" s="3"/>
      <c r="C9" s="3" t="s">
        <v>4</v>
      </c>
      <c r="D9" s="3"/>
      <c r="E9" s="3"/>
      <c r="F9" s="3"/>
      <c r="G9" s="3"/>
      <c r="H9" s="3"/>
      <c r="I9" s="3"/>
      <c r="J9" s="3"/>
      <c r="K9" s="214">
        <f>'Sch A'!C12</f>
        <v>2145</v>
      </c>
      <c r="L9" s="3"/>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row>
    <row r="10" spans="1:252">
      <c r="A10" s="3"/>
      <c r="B10" s="3"/>
      <c r="C10" s="3" t="s">
        <v>5</v>
      </c>
      <c r="D10" s="3"/>
      <c r="E10" s="3"/>
      <c r="F10" s="3"/>
      <c r="G10" s="3"/>
      <c r="H10" s="3"/>
      <c r="I10" s="3"/>
      <c r="J10" s="4"/>
      <c r="K10" s="214">
        <f>'Sch A'!E12</f>
        <v>1000</v>
      </c>
      <c r="L10" s="3"/>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row>
    <row r="11" spans="1:252">
      <c r="A11" s="3"/>
      <c r="B11" s="3"/>
      <c r="C11" s="3" t="s">
        <v>6</v>
      </c>
      <c r="D11" s="3"/>
      <c r="E11" s="3"/>
      <c r="F11" s="3"/>
      <c r="G11" s="3"/>
      <c r="H11" s="3"/>
      <c r="I11" s="3"/>
      <c r="J11" s="4"/>
      <c r="K11" s="215">
        <f>'Sch A'!D12</f>
        <v>5.7</v>
      </c>
      <c r="L11" s="3"/>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row>
    <row r="12" spans="1:252">
      <c r="A12" s="3"/>
      <c r="B12" s="3"/>
      <c r="C12" s="3" t="s">
        <v>7</v>
      </c>
      <c r="D12" s="3"/>
      <c r="E12" s="3"/>
      <c r="F12" s="3"/>
      <c r="G12" s="3"/>
      <c r="H12" s="3"/>
      <c r="I12" s="3"/>
      <c r="J12" s="4"/>
      <c r="K12" s="214">
        <f>'Sch A'!C19</f>
        <v>2687.5</v>
      </c>
      <c r="L12" s="3"/>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row>
    <row r="13" spans="1:252">
      <c r="A13" s="3"/>
      <c r="B13" s="3"/>
      <c r="C13" s="3" t="s">
        <v>8</v>
      </c>
      <c r="D13" s="3"/>
      <c r="E13" s="3"/>
      <c r="F13" s="3"/>
      <c r="G13" s="3"/>
      <c r="H13" s="3"/>
      <c r="I13" s="3"/>
      <c r="J13" s="4"/>
      <c r="K13" s="214">
        <f>'Sch A'!E19</f>
        <v>1800</v>
      </c>
      <c r="L13" s="3"/>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row>
    <row r="14" spans="1:252">
      <c r="A14" s="3"/>
      <c r="B14" s="3"/>
      <c r="C14" s="3" t="s">
        <v>9</v>
      </c>
      <c r="D14" s="3"/>
      <c r="E14" s="3"/>
      <c r="F14" s="3"/>
      <c r="G14" s="3"/>
      <c r="H14" s="3"/>
      <c r="I14" s="3"/>
      <c r="J14" s="4"/>
      <c r="K14" s="215">
        <f>'Sch A'!D19</f>
        <v>3.625</v>
      </c>
      <c r="L14" s="3"/>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row>
    <row r="15" spans="1:252">
      <c r="A15" s="3"/>
      <c r="B15" s="3"/>
      <c r="C15" s="3" t="s">
        <v>10</v>
      </c>
      <c r="D15" s="3"/>
      <c r="E15" s="3"/>
      <c r="F15" s="3"/>
      <c r="G15" s="3"/>
      <c r="H15" s="3"/>
      <c r="I15" s="3"/>
      <c r="J15" s="4"/>
      <c r="K15" s="215">
        <f>1/'Sch A'!F20</f>
        <v>25</v>
      </c>
      <c r="L15" s="3"/>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row>
    <row r="16" spans="1:252">
      <c r="A16" s="3"/>
      <c r="B16" s="3"/>
      <c r="C16" s="3" t="s">
        <v>11</v>
      </c>
      <c r="D16" s="3"/>
      <c r="E16" s="3"/>
      <c r="F16" s="3"/>
      <c r="G16" s="3"/>
      <c r="H16" s="3"/>
      <c r="I16" s="3"/>
      <c r="J16" s="3"/>
      <c r="K16" s="216">
        <f>'Sch A'!D25</f>
        <v>6.5000000000000002E-2</v>
      </c>
      <c r="L16" s="3"/>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row>
    <row r="17" spans="1:252">
      <c r="A17" s="3"/>
      <c r="B17" s="3"/>
      <c r="C17" s="3" t="s">
        <v>12</v>
      </c>
      <c r="D17" s="3"/>
      <c r="E17" s="3"/>
      <c r="F17" s="3"/>
      <c r="G17" s="3"/>
      <c r="H17" s="3"/>
      <c r="I17" s="3"/>
      <c r="J17" s="3"/>
      <c r="K17" s="217">
        <f>'Sch A'!D26</f>
        <v>7.4999999999999997E-3</v>
      </c>
      <c r="L17" s="3"/>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row>
    <row r="18" spans="1:252">
      <c r="A18" s="3"/>
      <c r="B18" s="3"/>
      <c r="C18" s="3" t="s">
        <v>13</v>
      </c>
      <c r="D18" s="3"/>
      <c r="E18" s="3"/>
      <c r="F18" s="3"/>
      <c r="G18" s="3"/>
      <c r="H18" s="3"/>
      <c r="I18" s="3"/>
      <c r="J18" s="3"/>
      <c r="K18" s="217">
        <f>'Sch A'!D27</f>
        <v>0.01</v>
      </c>
      <c r="L18" s="3"/>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row>
    <row r="19" spans="1:252" ht="9.9499999999999993" customHeight="1">
      <c r="A19" s="3"/>
      <c r="B19" s="31"/>
      <c r="C19" s="31"/>
      <c r="D19" s="31"/>
      <c r="E19" s="31"/>
      <c r="F19" s="31"/>
      <c r="G19" s="31"/>
      <c r="H19" s="31"/>
      <c r="I19" s="31"/>
      <c r="J19" s="31"/>
      <c r="K19" s="32"/>
      <c r="L19" s="3"/>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row>
    <row r="20" spans="1:252">
      <c r="A20" s="3"/>
      <c r="B20" s="211"/>
      <c r="C20" s="211"/>
      <c r="D20" s="211"/>
      <c r="E20" s="211"/>
      <c r="F20" s="211"/>
      <c r="G20" s="211"/>
      <c r="H20" s="211"/>
      <c r="I20" s="211"/>
      <c r="J20" s="211"/>
      <c r="K20" s="211"/>
      <c r="L20" s="3"/>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row>
    <row r="21" spans="1:252" ht="15.75">
      <c r="A21" s="3"/>
      <c r="B21" s="209" t="s">
        <v>14</v>
      </c>
      <c r="C21" s="3"/>
      <c r="D21" s="3"/>
      <c r="E21" s="3"/>
      <c r="F21" s="3"/>
      <c r="G21" s="3"/>
      <c r="H21" s="3"/>
      <c r="I21" s="3"/>
      <c r="J21" s="3"/>
      <c r="K21" s="3"/>
      <c r="L21" s="3"/>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row>
    <row r="22" spans="1:252" ht="9.9499999999999993" customHeight="1">
      <c r="A22" s="3"/>
      <c r="B22" s="210"/>
      <c r="C22" s="210"/>
      <c r="D22" s="210"/>
      <c r="E22" s="210"/>
      <c r="F22" s="210"/>
      <c r="G22" s="210"/>
      <c r="H22" s="210"/>
      <c r="I22" s="210"/>
      <c r="J22" s="210"/>
      <c r="K22" s="210"/>
      <c r="L22" s="3"/>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row>
    <row r="23" spans="1:252">
      <c r="A23" s="3"/>
      <c r="B23" s="3"/>
      <c r="C23" s="3" t="s">
        <v>15</v>
      </c>
      <c r="D23" s="3"/>
      <c r="E23" s="3"/>
      <c r="F23" s="3"/>
      <c r="G23" s="3"/>
      <c r="H23" s="3"/>
      <c r="I23" s="223">
        <v>0</v>
      </c>
      <c r="J23" s="3"/>
      <c r="K23" s="3"/>
      <c r="L23" s="3"/>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row>
    <row r="24" spans="1:252">
      <c r="A24" s="3"/>
      <c r="B24" s="3"/>
      <c r="C24" s="3" t="s">
        <v>16</v>
      </c>
      <c r="D24" s="3"/>
      <c r="E24" s="3"/>
      <c r="F24" s="3"/>
      <c r="G24" s="4">
        <v>0.04</v>
      </c>
      <c r="H24" s="3"/>
      <c r="I24" s="224">
        <v>0</v>
      </c>
      <c r="J24" s="4">
        <f>IF(AND(J25&gt;0,I27&gt;0),1,0)</f>
        <v>0</v>
      </c>
      <c r="K24" s="3"/>
      <c r="L24" s="3"/>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row>
    <row r="25" spans="1:252">
      <c r="A25" s="3"/>
      <c r="B25" s="3"/>
      <c r="C25" s="3" t="s">
        <v>17</v>
      </c>
      <c r="D25" s="3"/>
      <c r="E25" s="3"/>
      <c r="F25" s="3"/>
      <c r="G25" s="4">
        <v>6.4999999999999997E-3</v>
      </c>
      <c r="H25" s="3"/>
      <c r="I25" s="213">
        <f>I23*G25</f>
        <v>0</v>
      </c>
      <c r="J25" s="4">
        <f>I23*I24-I25</f>
        <v>0</v>
      </c>
      <c r="K25" s="3"/>
      <c r="L25" s="3"/>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row>
    <row r="26" spans="1:252">
      <c r="A26" s="3"/>
      <c r="B26" s="3"/>
      <c r="C26" s="3"/>
      <c r="D26" s="3" t="s">
        <v>18</v>
      </c>
      <c r="E26" s="3"/>
      <c r="F26" s="3" t="str">
        <f>IF(J24&gt;0," Enter return to land value OR cash rent!","")</f>
        <v/>
      </c>
      <c r="G26" s="4"/>
      <c r="H26" s="3"/>
      <c r="I26" s="213"/>
      <c r="J26" s="4"/>
      <c r="K26" s="3"/>
      <c r="L26" s="3"/>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row>
    <row r="27" spans="1:252">
      <c r="A27" s="3"/>
      <c r="B27" s="3"/>
      <c r="C27" s="3" t="s">
        <v>19</v>
      </c>
      <c r="D27" s="3"/>
      <c r="E27" s="3"/>
      <c r="F27" s="3"/>
      <c r="G27" s="4"/>
      <c r="H27" s="3"/>
      <c r="I27" s="225">
        <v>19</v>
      </c>
      <c r="J27" s="4">
        <f>I27/(G24+G25)</f>
        <v>408.60215053763443</v>
      </c>
      <c r="K27" s="3"/>
      <c r="L27" s="3"/>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row>
    <row r="28" spans="1:252">
      <c r="A28" s="3"/>
      <c r="B28" s="3"/>
      <c r="C28" s="3"/>
      <c r="D28" s="3"/>
      <c r="E28" s="3"/>
      <c r="F28" s="3"/>
      <c r="G28" s="3"/>
      <c r="H28" s="3"/>
      <c r="I28" s="213"/>
      <c r="J28" s="3"/>
      <c r="K28" s="221" t="s">
        <v>20</v>
      </c>
      <c r="L28" s="3"/>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row>
    <row r="29" spans="1:252">
      <c r="A29" s="3"/>
      <c r="B29" s="3"/>
      <c r="C29" s="3" t="s">
        <v>21</v>
      </c>
      <c r="D29" s="3"/>
      <c r="E29" s="3"/>
      <c r="F29" s="3"/>
      <c r="G29" s="3"/>
      <c r="H29" s="3"/>
      <c r="I29" s="161">
        <f>'Sch D'!H9</f>
        <v>8.8759999999999994</v>
      </c>
      <c r="J29" s="3"/>
      <c r="K29" s="128">
        <f>IF(J24&gt;0,1/0,IF(J25&gt;0,(I23*I24+I25)*I29,I27*I29))</f>
        <v>168.64399999999998</v>
      </c>
      <c r="L29" s="3"/>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row>
    <row r="30" spans="1:252">
      <c r="A30" s="3"/>
      <c r="B30" s="3"/>
      <c r="C30" s="3"/>
      <c r="D30" s="3"/>
      <c r="E30" s="3"/>
      <c r="F30" s="3"/>
      <c r="G30" s="3"/>
      <c r="H30" s="3"/>
      <c r="I30" s="3"/>
      <c r="J30" s="3"/>
      <c r="K30" s="3"/>
      <c r="L30" s="3"/>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row>
    <row r="31" spans="1:252">
      <c r="A31" s="3"/>
      <c r="B31" s="3"/>
      <c r="C31" s="3" t="s">
        <v>22</v>
      </c>
      <c r="D31" s="3"/>
      <c r="E31" s="3"/>
      <c r="F31" s="3"/>
      <c r="G31" s="3" t="s">
        <v>23</v>
      </c>
      <c r="H31" s="3"/>
      <c r="I31" s="221" t="s">
        <v>24</v>
      </c>
      <c r="J31" s="3"/>
      <c r="K31" s="221" t="s">
        <v>20</v>
      </c>
      <c r="L31" s="3"/>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row>
    <row r="32" spans="1:252">
      <c r="A32" s="3"/>
      <c r="B32" s="3"/>
      <c r="C32" s="212" t="s">
        <v>25</v>
      </c>
      <c r="D32" s="212"/>
      <c r="E32" s="212"/>
      <c r="F32" s="212"/>
      <c r="G32" s="145">
        <f>'Sch D'!H15</f>
        <v>4392</v>
      </c>
      <c r="H32" s="218"/>
      <c r="I32" s="226">
        <v>100</v>
      </c>
      <c r="J32" s="219" t="s">
        <v>26</v>
      </c>
      <c r="K32" s="131">
        <f>G32*I32/2000</f>
        <v>219.6</v>
      </c>
      <c r="L32" s="3"/>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row>
    <row r="33" spans="1:252">
      <c r="A33" s="3"/>
      <c r="B33" s="3"/>
      <c r="C33" s="3" t="s">
        <v>27</v>
      </c>
      <c r="D33" s="3"/>
      <c r="E33" s="3"/>
      <c r="F33" s="3"/>
      <c r="G33" s="149">
        <f>'Sch D'!H24</f>
        <v>0</v>
      </c>
      <c r="H33" s="213"/>
      <c r="I33" s="225">
        <v>0</v>
      </c>
      <c r="J33" s="220" t="s">
        <v>26</v>
      </c>
      <c r="K33" s="128">
        <f>G33*I33/2000</f>
        <v>0</v>
      </c>
      <c r="L33" s="3"/>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row>
    <row r="34" spans="1:252">
      <c r="A34" s="3"/>
      <c r="B34" s="3"/>
      <c r="C34" s="3" t="s">
        <v>28</v>
      </c>
      <c r="D34" s="3"/>
      <c r="E34" s="3"/>
      <c r="F34" s="3"/>
      <c r="G34" s="149">
        <f>'Sch D'!H28</f>
        <v>1586.4</v>
      </c>
      <c r="H34" s="213"/>
      <c r="I34" s="225">
        <v>35</v>
      </c>
      <c r="J34" s="220" t="s">
        <v>26</v>
      </c>
      <c r="K34" s="128">
        <f>G34*I34/2000</f>
        <v>27.762</v>
      </c>
      <c r="L34" s="3"/>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row>
    <row r="35" spans="1:252">
      <c r="A35" s="3"/>
      <c r="B35" s="3"/>
      <c r="C35" s="3" t="s">
        <v>29</v>
      </c>
      <c r="D35" s="3"/>
      <c r="E35" s="3"/>
      <c r="F35" s="3"/>
      <c r="G35" s="149">
        <f>'Sch D'!H32</f>
        <v>0</v>
      </c>
      <c r="H35" s="213"/>
      <c r="I35" s="227">
        <v>0.1</v>
      </c>
      <c r="J35" s="220" t="s">
        <v>30</v>
      </c>
      <c r="K35" s="128">
        <f>G35*I35</f>
        <v>0</v>
      </c>
      <c r="L35" s="3"/>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row>
    <row r="36" spans="1:252">
      <c r="A36" s="3"/>
      <c r="B36" s="3"/>
      <c r="C36" s="3" t="s">
        <v>31</v>
      </c>
      <c r="D36" s="3"/>
      <c r="E36" s="3"/>
      <c r="F36" s="3"/>
      <c r="G36" s="149">
        <f>'Sch D'!H36</f>
        <v>91.2</v>
      </c>
      <c r="H36" s="213"/>
      <c r="I36" s="225">
        <v>350</v>
      </c>
      <c r="J36" s="220" t="s">
        <v>26</v>
      </c>
      <c r="K36" s="128">
        <f>G36*I36/2000</f>
        <v>15.96</v>
      </c>
      <c r="L36" s="3"/>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row>
    <row r="37" spans="1:252">
      <c r="A37" s="3"/>
      <c r="B37" s="3"/>
      <c r="C37" s="3" t="s">
        <v>32</v>
      </c>
      <c r="D37" s="3"/>
      <c r="E37" s="3"/>
      <c r="F37" s="3"/>
      <c r="G37" s="228">
        <v>60</v>
      </c>
      <c r="H37" s="213"/>
      <c r="I37" s="225">
        <v>30</v>
      </c>
      <c r="J37" s="220" t="s">
        <v>33</v>
      </c>
      <c r="K37" s="128">
        <f>G37*I37/100</f>
        <v>18</v>
      </c>
      <c r="L37" s="3"/>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row>
    <row r="38" spans="1:252">
      <c r="A38" s="3"/>
      <c r="B38" s="3"/>
      <c r="C38" s="212" t="s">
        <v>34</v>
      </c>
      <c r="D38" s="212"/>
      <c r="E38" s="212"/>
      <c r="F38" s="212"/>
      <c r="G38" s="218"/>
      <c r="H38" s="218"/>
      <c r="I38" s="218"/>
      <c r="J38" s="218"/>
      <c r="K38" s="131">
        <f>SUM(K32:K37)</f>
        <v>281.322</v>
      </c>
      <c r="L38" s="3"/>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row>
    <row r="39" spans="1:252">
      <c r="A39" s="3"/>
      <c r="B39" s="3"/>
      <c r="C39" s="3"/>
      <c r="D39" s="3"/>
      <c r="E39" s="3"/>
      <c r="F39" s="3"/>
      <c r="G39" s="3"/>
      <c r="H39" s="3"/>
      <c r="I39" s="3"/>
      <c r="J39" s="3"/>
      <c r="K39" s="3"/>
      <c r="L39" s="3"/>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row>
    <row r="40" spans="1:252" ht="15.75">
      <c r="A40" s="3"/>
      <c r="B40" s="209" t="s">
        <v>35</v>
      </c>
      <c r="C40" s="3"/>
      <c r="D40" s="3"/>
      <c r="E40" s="3"/>
      <c r="F40" s="3"/>
      <c r="G40" s="3"/>
      <c r="H40" s="3"/>
      <c r="I40" s="3"/>
      <c r="J40" s="3"/>
      <c r="K40" s="3"/>
      <c r="L40" s="3"/>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row>
    <row r="41" spans="1:252" ht="9.9499999999999993" customHeight="1">
      <c r="A41" s="3"/>
      <c r="B41" s="210"/>
      <c r="C41" s="210"/>
      <c r="D41" s="210"/>
      <c r="E41" s="210"/>
      <c r="F41" s="210"/>
      <c r="G41" s="210"/>
      <c r="H41" s="210"/>
      <c r="I41" s="210"/>
      <c r="J41" s="210"/>
      <c r="K41" s="210"/>
      <c r="L41" s="3"/>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row>
    <row r="42" spans="1:252">
      <c r="A42" s="3"/>
      <c r="B42" s="3"/>
      <c r="C42" s="3" t="s">
        <v>36</v>
      </c>
      <c r="D42" s="3"/>
      <c r="E42" s="3"/>
      <c r="F42" s="3"/>
      <c r="G42" s="3"/>
      <c r="H42" s="3"/>
      <c r="I42" s="3"/>
      <c r="J42" s="3"/>
      <c r="K42" s="225">
        <v>20</v>
      </c>
      <c r="L42" s="3"/>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row>
    <row r="43" spans="1:252">
      <c r="A43" s="3"/>
      <c r="B43" s="3"/>
      <c r="C43" s="3" t="s">
        <v>37</v>
      </c>
      <c r="D43" s="3"/>
      <c r="E43" s="3"/>
      <c r="F43" s="3"/>
      <c r="G43" s="3"/>
      <c r="H43" s="3"/>
      <c r="I43" s="3"/>
      <c r="J43" s="3"/>
      <c r="K43" s="225">
        <v>28</v>
      </c>
      <c r="L43" s="3"/>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row>
    <row r="44" spans="1:252">
      <c r="A44" s="3"/>
      <c r="B44" s="3"/>
      <c r="C44" s="3" t="s">
        <v>152</v>
      </c>
      <c r="D44" s="3"/>
      <c r="E44" s="3"/>
      <c r="F44" s="3"/>
      <c r="G44" s="3"/>
      <c r="H44" s="3"/>
      <c r="I44" s="3"/>
      <c r="J44" s="3"/>
      <c r="K44" s="225">
        <v>12</v>
      </c>
      <c r="L44" s="3"/>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row>
    <row r="45" spans="1:252">
      <c r="A45" s="3"/>
      <c r="B45" s="3"/>
      <c r="C45" s="3" t="s">
        <v>39</v>
      </c>
      <c r="D45" s="3"/>
      <c r="E45" s="3"/>
      <c r="F45" s="3"/>
      <c r="G45" s="3"/>
      <c r="H45" s="3"/>
      <c r="I45" s="3"/>
      <c r="J45" s="3"/>
      <c r="K45" s="225">
        <v>20</v>
      </c>
      <c r="L45" s="3"/>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row>
    <row r="46" spans="1:252">
      <c r="A46" s="3"/>
      <c r="B46" s="3"/>
      <c r="C46" s="3" t="s">
        <v>40</v>
      </c>
      <c r="D46" s="3"/>
      <c r="E46" s="3"/>
      <c r="F46" s="3"/>
      <c r="G46" s="3"/>
      <c r="H46" s="3"/>
      <c r="I46" s="3"/>
      <c r="J46" s="3"/>
      <c r="K46" s="225">
        <v>15</v>
      </c>
      <c r="L46" s="3"/>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row>
    <row r="47" spans="1:252">
      <c r="A47" s="3"/>
      <c r="B47" s="3"/>
      <c r="C47" s="3" t="s">
        <v>41</v>
      </c>
      <c r="D47" s="229">
        <v>5.9</v>
      </c>
      <c r="E47" s="3" t="s">
        <v>42</v>
      </c>
      <c r="F47" s="230">
        <v>13</v>
      </c>
      <c r="G47" s="3" t="s">
        <v>43</v>
      </c>
      <c r="H47" s="3"/>
      <c r="I47" s="3"/>
      <c r="J47" s="3"/>
      <c r="K47" s="222">
        <f>D47*F47</f>
        <v>76.7</v>
      </c>
      <c r="L47" s="3"/>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row>
    <row r="48" spans="1:252" ht="15.75">
      <c r="A48" s="3"/>
      <c r="B48" s="3"/>
      <c r="C48" s="3" t="s">
        <v>44</v>
      </c>
      <c r="D48" s="3"/>
      <c r="E48" s="249" t="s">
        <v>167</v>
      </c>
      <c r="F48" s="250"/>
      <c r="G48" s="250"/>
      <c r="H48" s="3"/>
      <c r="I48" s="3"/>
      <c r="J48" s="3"/>
      <c r="K48" s="225">
        <f>30/K15</f>
        <v>1.2</v>
      </c>
      <c r="L48" s="3"/>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row>
    <row r="49" spans="1:252" ht="15.75">
      <c r="A49" s="3"/>
      <c r="B49" s="3"/>
      <c r="C49" s="3" t="s">
        <v>44</v>
      </c>
      <c r="D49" s="3"/>
      <c r="E49" s="249" t="s">
        <v>168</v>
      </c>
      <c r="F49" s="250"/>
      <c r="G49" s="250"/>
      <c r="H49" s="3"/>
      <c r="I49" s="3"/>
      <c r="J49" s="3"/>
      <c r="K49" s="225">
        <f>15+5</f>
        <v>20</v>
      </c>
      <c r="L49" s="3"/>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row>
    <row r="50" spans="1:252">
      <c r="A50" s="3"/>
      <c r="B50" s="3"/>
      <c r="C50" s="3" t="s">
        <v>45</v>
      </c>
      <c r="D50" s="3"/>
      <c r="E50" s="3"/>
      <c r="F50" s="3"/>
      <c r="G50" s="3"/>
      <c r="H50" s="3"/>
      <c r="I50" s="3"/>
      <c r="J50" s="3"/>
      <c r="K50" s="224">
        <v>6.5000000000000002E-2</v>
      </c>
      <c r="L50" s="3"/>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row>
    <row r="51" spans="1:252" ht="9.9499999999999993" customHeight="1">
      <c r="A51" s="3"/>
      <c r="B51" s="31"/>
      <c r="C51" s="31"/>
      <c r="D51" s="31"/>
      <c r="E51" s="31"/>
      <c r="F51" s="31"/>
      <c r="G51" s="31"/>
      <c r="H51" s="31"/>
      <c r="I51" s="31"/>
      <c r="J51" s="31"/>
      <c r="K51" s="213"/>
      <c r="L51" s="3"/>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row>
    <row r="52" spans="1:252" ht="15.75" thickBot="1">
      <c r="A52" s="3"/>
      <c r="B52" s="232" t="s">
        <v>46</v>
      </c>
      <c r="C52" s="232"/>
      <c r="D52" s="232"/>
      <c r="E52" s="232"/>
      <c r="F52" s="232"/>
      <c r="G52" s="232"/>
      <c r="H52" s="232"/>
      <c r="I52" s="232"/>
      <c r="J52" s="232"/>
      <c r="K52" s="233">
        <f>SUM(K42:K49)</f>
        <v>192.89999999999998</v>
      </c>
      <c r="L52" s="3"/>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row>
    <row r="53" spans="1:252">
      <c r="A53" s="3"/>
      <c r="B53" s="3"/>
      <c r="C53" s="3"/>
      <c r="D53" s="3"/>
      <c r="E53" s="3"/>
      <c r="F53" s="3"/>
      <c r="G53" s="3"/>
      <c r="H53" s="3"/>
      <c r="I53" s="3"/>
      <c r="J53" s="3"/>
      <c r="K53" s="3"/>
      <c r="L53" s="3"/>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row>
    <row r="54" spans="1:252">
      <c r="A54" s="3"/>
      <c r="B54" s="3"/>
      <c r="C54" s="3"/>
      <c r="D54" s="3"/>
      <c r="E54" s="3"/>
      <c r="F54" s="3"/>
      <c r="G54" s="3"/>
      <c r="H54" s="3"/>
      <c r="I54" s="3"/>
      <c r="J54" s="3"/>
      <c r="K54" s="3"/>
      <c r="L54" s="3"/>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row>
    <row r="55" spans="1:25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row>
    <row r="56" spans="1:25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row>
    <row r="57" spans="1:25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row>
    <row r="58" spans="1:25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row>
    <row r="59" spans="1:25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row>
    <row r="60" spans="1:25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row>
    <row r="61" spans="1:25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row>
    <row r="62" spans="1:25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row>
    <row r="63" spans="1:25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row>
    <row r="64" spans="1:25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row>
    <row r="65" spans="1:25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row>
    <row r="66" spans="1:25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row>
    <row r="67" spans="1:25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row>
    <row r="68" spans="1:25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row>
    <row r="69" spans="1:25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row>
    <row r="70" spans="1:25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row>
    <row r="71" spans="1:25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row>
    <row r="72" spans="1:25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row>
    <row r="73" spans="1:25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row>
    <row r="74" spans="1:25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row>
    <row r="75" spans="1:25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row>
    <row r="76" spans="1:25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row>
    <row r="77" spans="1:25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row>
    <row r="78" spans="1:25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row>
    <row r="79" spans="1:25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row>
    <row r="80" spans="1:25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row>
    <row r="81" spans="1:25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row>
    <row r="82" spans="1:25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row>
    <row r="83" spans="1:25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row>
    <row r="84" spans="1:25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row>
    <row r="85" spans="1:25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row>
    <row r="86" spans="1:25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row>
    <row r="87" spans="1:25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row>
    <row r="88" spans="1:25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row>
    <row r="89" spans="1:25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row>
    <row r="90" spans="1:25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row>
    <row r="91" spans="1:25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row>
    <row r="92" spans="1:25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row>
    <row r="93" spans="1:25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row>
    <row r="94" spans="1:25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row>
    <row r="95" spans="1:25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row>
    <row r="96" spans="1:25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row>
    <row r="97" spans="1:25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row>
    <row r="98" spans="1:25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row>
    <row r="99" spans="1:25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row>
    <row r="100" spans="1:25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row>
    <row r="101" spans="1:25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row>
    <row r="102" spans="1:25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row>
  </sheetData>
  <sheetProtection password="C4C7" sheet="1"/>
  <mergeCells count="2">
    <mergeCell ref="E48:G48"/>
    <mergeCell ref="E49:G49"/>
  </mergeCells>
  <phoneticPr fontId="2" type="noConversion"/>
  <pageMargins left="0.75" right="0.75" top="0.75" bottom="0.75" header="0" footer="0"/>
  <pageSetup scale="10" orientation="portrait" r:id="rId1"/>
  <headerFooter alignWithMargins="0"/>
  <ignoredErrors>
    <ignoredError sqref="K9:K15 K16:K18"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showOutlineSymbols="0" zoomScaleNormal="100" workbookViewId="0"/>
  </sheetViews>
  <sheetFormatPr defaultColWidth="7.6640625" defaultRowHeight="14.1" customHeight="1"/>
  <cols>
    <col min="1" max="1" width="6.77734375" style="167" customWidth="1"/>
    <col min="2" max="2" width="18.77734375" style="167" customWidth="1"/>
    <col min="3" max="11" width="9.6640625" style="167" customWidth="1"/>
    <col min="12" max="16384" width="7.6640625" style="167"/>
  </cols>
  <sheetData>
    <row r="1" spans="1:12" ht="14.1" customHeight="1">
      <c r="A1" s="169"/>
      <c r="B1" s="169"/>
      <c r="C1" s="169"/>
      <c r="D1" s="169"/>
      <c r="E1" s="169"/>
      <c r="F1" s="169"/>
      <c r="G1" s="169"/>
      <c r="H1" s="169"/>
      <c r="I1" s="169"/>
      <c r="J1" s="169"/>
      <c r="K1" s="169"/>
      <c r="L1" s="169"/>
    </row>
    <row r="2" spans="1:12" ht="14.1" customHeight="1" thickBot="1">
      <c r="A2" s="169"/>
      <c r="B2" s="170" t="s">
        <v>185</v>
      </c>
      <c r="C2" s="169"/>
      <c r="D2" s="169"/>
      <c r="E2" s="169"/>
      <c r="F2" s="169"/>
      <c r="G2" s="169"/>
      <c r="H2" s="169"/>
      <c r="I2" s="169"/>
      <c r="J2" s="169"/>
      <c r="K2" s="169"/>
      <c r="L2" s="169"/>
    </row>
    <row r="3" spans="1:12" ht="14.1" customHeight="1">
      <c r="A3" s="169"/>
      <c r="B3" s="171"/>
      <c r="C3" s="172" t="s">
        <v>175</v>
      </c>
      <c r="D3" s="172" t="s">
        <v>177</v>
      </c>
      <c r="E3" s="173" t="s">
        <v>47</v>
      </c>
      <c r="F3" s="173"/>
      <c r="G3" s="172" t="s">
        <v>20</v>
      </c>
      <c r="H3" s="172" t="s">
        <v>181</v>
      </c>
      <c r="I3" s="172"/>
      <c r="J3" s="172" t="s">
        <v>183</v>
      </c>
      <c r="K3" s="172" t="s">
        <v>199</v>
      </c>
      <c r="L3" s="169"/>
    </row>
    <row r="4" spans="1:12" ht="14.1" customHeight="1">
      <c r="A4" s="169"/>
      <c r="B4" s="174" t="s">
        <v>48</v>
      </c>
      <c r="C4" s="174" t="s">
        <v>190</v>
      </c>
      <c r="D4" s="174" t="s">
        <v>178</v>
      </c>
      <c r="E4" s="174" t="s">
        <v>188</v>
      </c>
      <c r="F4" s="174" t="s">
        <v>186</v>
      </c>
      <c r="G4" s="174" t="s">
        <v>198</v>
      </c>
      <c r="H4" s="174" t="s">
        <v>49</v>
      </c>
      <c r="I4" s="174" t="s">
        <v>50</v>
      </c>
      <c r="J4" s="174" t="s">
        <v>182</v>
      </c>
      <c r="K4" s="174" t="s">
        <v>200</v>
      </c>
      <c r="L4" s="169"/>
    </row>
    <row r="5" spans="1:12" ht="15" customHeight="1">
      <c r="A5" s="169"/>
      <c r="B5" s="175" t="s">
        <v>193</v>
      </c>
      <c r="C5" s="176"/>
      <c r="D5" s="176"/>
      <c r="E5" s="176"/>
      <c r="F5" s="176"/>
      <c r="G5" s="176"/>
      <c r="H5" s="176"/>
      <c r="I5" s="176"/>
      <c r="J5" s="176"/>
      <c r="K5" s="176"/>
      <c r="L5" s="169"/>
    </row>
    <row r="6" spans="1:12" ht="15" customHeight="1">
      <c r="A6" s="169"/>
      <c r="B6" s="40" t="s">
        <v>189</v>
      </c>
      <c r="C6" s="41">
        <v>1500</v>
      </c>
      <c r="D6" s="42">
        <v>6</v>
      </c>
      <c r="E6" s="41">
        <v>1000</v>
      </c>
      <c r="F6" s="43">
        <v>50</v>
      </c>
      <c r="G6" s="177">
        <f>IF(C6&gt;0,C6*F6,0)</f>
        <v>75000</v>
      </c>
      <c r="H6" s="177">
        <f>IF(G6&gt;0,(C6-E6)/D6*F6,0)</f>
        <v>4166.6666666666661</v>
      </c>
      <c r="I6" s="177">
        <f>IF(G6&gt;0,(C6+E6)/2*D$25*F6,0)</f>
        <v>4062.5</v>
      </c>
      <c r="J6" s="177">
        <f>IF(G6&gt;0,(C6+E6)/2*D$26*F6,0)</f>
        <v>468.75</v>
      </c>
      <c r="K6" s="177">
        <f>IF(G6&gt;0,(C6+E6)/2*D$27*F6,0)</f>
        <v>625</v>
      </c>
      <c r="L6" s="169"/>
    </row>
    <row r="7" spans="1:12" ht="15" customHeight="1">
      <c r="A7" s="169"/>
      <c r="B7" s="40" t="s">
        <v>191</v>
      </c>
      <c r="C7" s="41">
        <v>2500</v>
      </c>
      <c r="D7" s="42">
        <v>6</v>
      </c>
      <c r="E7" s="41">
        <v>1000</v>
      </c>
      <c r="F7" s="43">
        <v>120</v>
      </c>
      <c r="G7" s="177">
        <f t="shared" ref="G7:G17" si="0">IF(C7&gt;0,C7*F7,0)</f>
        <v>300000</v>
      </c>
      <c r="H7" s="177">
        <f>IF(G7&gt;0,(C7-E7)/D7*F7,0)</f>
        <v>30000</v>
      </c>
      <c r="I7" s="177">
        <f>IF(G7&gt;0,(C7+E7)/2*D$25*F7,0)</f>
        <v>13650</v>
      </c>
      <c r="J7" s="177">
        <f>IF(G7&gt;0,(C7+E7)/2*D$26*F7,0)</f>
        <v>1575</v>
      </c>
      <c r="K7" s="177">
        <f>IF(G7&gt;0,(C7+E7)/2*D$27*F7,0)</f>
        <v>2100</v>
      </c>
      <c r="L7" s="169"/>
    </row>
    <row r="8" spans="1:12" ht="15" customHeight="1">
      <c r="A8" s="169"/>
      <c r="B8" s="40" t="s">
        <v>192</v>
      </c>
      <c r="C8" s="41">
        <v>1800</v>
      </c>
      <c r="D8" s="42">
        <v>4</v>
      </c>
      <c r="E8" s="41">
        <v>1000</v>
      </c>
      <c r="F8" s="43">
        <v>30</v>
      </c>
      <c r="G8" s="177">
        <f t="shared" si="0"/>
        <v>54000</v>
      </c>
      <c r="H8" s="177">
        <f>IF(G8&gt;0,(C8-E8)/D8*F8,0)</f>
        <v>6000</v>
      </c>
      <c r="I8" s="177">
        <f>IF(G8&gt;0,(C8+E8)/2*D$25*F8,0)</f>
        <v>2730</v>
      </c>
      <c r="J8" s="177">
        <f>IF(G8&gt;0,(C8+E8)/2*D$26*F8,0)</f>
        <v>315</v>
      </c>
      <c r="K8" s="177">
        <f>IF(G8&gt;0,(C8+E8)/2*D$27*F8,0)</f>
        <v>420</v>
      </c>
      <c r="L8" s="169"/>
    </row>
    <row r="9" spans="1:12" ht="15" customHeight="1">
      <c r="A9" s="169"/>
      <c r="B9" s="40"/>
      <c r="C9" s="41"/>
      <c r="D9" s="42"/>
      <c r="E9" s="41"/>
      <c r="F9" s="43"/>
      <c r="G9" s="177">
        <f t="shared" si="0"/>
        <v>0</v>
      </c>
      <c r="H9" s="177">
        <f>IF(G9&gt;0,(C9-E9)/D9*F9,0)</f>
        <v>0</v>
      </c>
      <c r="I9" s="177">
        <f>IF(G9&gt;0,(C9+E9)/2*D$25*F9,0)</f>
        <v>0</v>
      </c>
      <c r="J9" s="177">
        <f>IF(G9&gt;0,(C9+E9)/2*D$26*F9,0)</f>
        <v>0</v>
      </c>
      <c r="K9" s="177">
        <f>IF(G9&gt;0,(C9+E9)/2*D$27*F9,0)</f>
        <v>0</v>
      </c>
      <c r="L9" s="169"/>
    </row>
    <row r="10" spans="1:12" ht="15" customHeight="1">
      <c r="A10" s="169"/>
      <c r="B10" s="33"/>
      <c r="C10" s="34"/>
      <c r="D10" s="35"/>
      <c r="E10" s="34"/>
      <c r="F10" s="36"/>
      <c r="G10" s="178">
        <f t="shared" si="0"/>
        <v>0</v>
      </c>
      <c r="H10" s="178">
        <f>IF(G10&gt;0,(C10-E10)/D10*F10,0)</f>
        <v>0</v>
      </c>
      <c r="I10" s="178">
        <f>IF(G10&gt;0,(C10+E10)/2*D$25*F10,0)</f>
        <v>0</v>
      </c>
      <c r="J10" s="178">
        <f>IF(G10&gt;0,(C10+E10)/2*D$26*F10,0)</f>
        <v>0</v>
      </c>
      <c r="K10" s="178">
        <f>IF(G10&gt;0,(C10+E10)/2*D$27*F10,0)</f>
        <v>0</v>
      </c>
      <c r="L10" s="169"/>
    </row>
    <row r="11" spans="1:12" ht="15" customHeight="1">
      <c r="A11" s="169"/>
      <c r="B11" s="179" t="s">
        <v>203</v>
      </c>
      <c r="C11" s="180">
        <f>IF($F11=0,"n/a",SUMPRODUCT(C6:C10,$F6:$F10))</f>
        <v>429000</v>
      </c>
      <c r="D11" s="181"/>
      <c r="E11" s="180">
        <f>IF($F11=0,"n/a",SUMPRODUCT(E6:E10,$F6:$F10))</f>
        <v>200000</v>
      </c>
      <c r="F11" s="182">
        <f>SUM(F6:F10)</f>
        <v>200</v>
      </c>
      <c r="G11" s="180">
        <f>IF($F11=0,"n/a",SUM(G6:G10))</f>
        <v>429000</v>
      </c>
      <c r="H11" s="180">
        <f>IF($F11=0,"n/a",SUM(H6:H10))</f>
        <v>40166.666666666664</v>
      </c>
      <c r="I11" s="180">
        <f>IF($F11=0,"n/a",SUM(I6:I10))</f>
        <v>20442.5</v>
      </c>
      <c r="J11" s="180">
        <f>IF($F11=0,"n/a",SUM(J6:J10))</f>
        <v>2358.75</v>
      </c>
      <c r="K11" s="180">
        <f>IF($F11=0,"n/a",SUM(K6:K10))</f>
        <v>3145</v>
      </c>
      <c r="L11" s="169"/>
    </row>
    <row r="12" spans="1:12" ht="15" customHeight="1" thickBot="1">
      <c r="A12" s="169"/>
      <c r="B12" s="183" t="s">
        <v>201</v>
      </c>
      <c r="C12" s="184">
        <f>C11/$F11</f>
        <v>2145</v>
      </c>
      <c r="D12" s="185">
        <f>IF($F11=0,"n/a",SUMPRODUCT(D6:D10,$F6:$F10)/$F11)</f>
        <v>5.7</v>
      </c>
      <c r="E12" s="184">
        <f>E11/$F11</f>
        <v>1000</v>
      </c>
      <c r="F12" s="186"/>
      <c r="G12" s="184">
        <f>G11/$F11</f>
        <v>2145</v>
      </c>
      <c r="H12" s="187">
        <f>H11/$F11</f>
        <v>200.83333333333331</v>
      </c>
      <c r="I12" s="187">
        <f>I11/$F11</f>
        <v>102.21250000000001</v>
      </c>
      <c r="J12" s="187">
        <f>J11/$F11</f>
        <v>11.793749999999999</v>
      </c>
      <c r="K12" s="187">
        <f>K11/$F11</f>
        <v>15.725</v>
      </c>
      <c r="L12" s="169"/>
    </row>
    <row r="13" spans="1:12" ht="14.1" customHeight="1" thickTop="1">
      <c r="A13" s="169"/>
      <c r="B13" s="188"/>
      <c r="C13" s="178"/>
      <c r="D13" s="189"/>
      <c r="E13" s="178"/>
      <c r="F13" s="190"/>
      <c r="G13" s="178"/>
      <c r="H13" s="178"/>
      <c r="I13" s="178"/>
      <c r="J13" s="178"/>
      <c r="K13" s="178"/>
      <c r="L13" s="169"/>
    </row>
    <row r="14" spans="1:12" ht="15" customHeight="1">
      <c r="A14" s="169"/>
      <c r="B14" s="191" t="s">
        <v>194</v>
      </c>
      <c r="C14" s="174"/>
      <c r="D14" s="174"/>
      <c r="E14" s="192"/>
      <c r="F14" s="193"/>
      <c r="G14" s="174"/>
      <c r="H14" s="174"/>
      <c r="I14" s="174"/>
      <c r="J14" s="174"/>
      <c r="K14" s="174"/>
      <c r="L14" s="169"/>
    </row>
    <row r="15" spans="1:12" ht="15" customHeight="1">
      <c r="A15" s="169"/>
      <c r="B15" s="40" t="s">
        <v>195</v>
      </c>
      <c r="C15" s="41">
        <v>2500</v>
      </c>
      <c r="D15" s="42">
        <v>4</v>
      </c>
      <c r="E15" s="41">
        <v>1800</v>
      </c>
      <c r="F15" s="43">
        <v>5</v>
      </c>
      <c r="G15" s="177">
        <f t="shared" si="0"/>
        <v>12500</v>
      </c>
      <c r="H15" s="177">
        <f>IF(G15&gt;0,(C15-E15)/D15*F15,0)</f>
        <v>875</v>
      </c>
      <c r="I15" s="177">
        <f>IF(G15&gt;0,(C15+E15)/2*D$25*F15,0)</f>
        <v>698.75</v>
      </c>
      <c r="J15" s="177">
        <f>IF(G15&gt;0,(C15+E15)/2*D$26*F15,0)</f>
        <v>80.625</v>
      </c>
      <c r="K15" s="177">
        <f>IF(G15&gt;0,(C15+E15)/2*D$27*F15,0)</f>
        <v>107.5</v>
      </c>
      <c r="L15" s="169"/>
    </row>
    <row r="16" spans="1:12" ht="15" customHeight="1">
      <c r="A16" s="169"/>
      <c r="B16" s="40" t="s">
        <v>196</v>
      </c>
      <c r="C16" s="41">
        <v>3000</v>
      </c>
      <c r="D16" s="42">
        <v>3</v>
      </c>
      <c r="E16" s="41">
        <v>1800</v>
      </c>
      <c r="F16" s="43">
        <v>3</v>
      </c>
      <c r="G16" s="177">
        <f t="shared" si="0"/>
        <v>9000</v>
      </c>
      <c r="H16" s="177">
        <f>IF(G16&gt;0,(C16-E16)/D16*F16,0)</f>
        <v>1200</v>
      </c>
      <c r="I16" s="177">
        <f>IF(G16&gt;0,(C16+E16)/2*D$25*F16,0)</f>
        <v>468</v>
      </c>
      <c r="J16" s="177">
        <f>IF(G16&gt;0,(C16+E16)/2*D$26*F16,0)</f>
        <v>54</v>
      </c>
      <c r="K16" s="177">
        <f>IF(G16&gt;0,(C16+E16)/2*D$27*F16,0)</f>
        <v>72</v>
      </c>
      <c r="L16" s="169"/>
    </row>
    <row r="17" spans="1:12" ht="15" customHeight="1">
      <c r="A17" s="169"/>
      <c r="B17" s="33"/>
      <c r="C17" s="34"/>
      <c r="D17" s="35"/>
      <c r="E17" s="34"/>
      <c r="F17" s="36"/>
      <c r="G17" s="178">
        <f t="shared" si="0"/>
        <v>0</v>
      </c>
      <c r="H17" s="194">
        <f>IF(G17&gt;0,(C17-E17)/D17*F17,0)</f>
        <v>0</v>
      </c>
      <c r="I17" s="194">
        <f>IF(G17&gt;0,(C17+E17)/2*D$25*F17,0)</f>
        <v>0</v>
      </c>
      <c r="J17" s="194">
        <f>IF(G17&gt;0,(C17+E17)/2*D$26*F17,0)</f>
        <v>0</v>
      </c>
      <c r="K17" s="194">
        <f>IF(G17&gt;0,(C17+E17)/2*D$27*F17,0)</f>
        <v>0</v>
      </c>
      <c r="L17" s="169"/>
    </row>
    <row r="18" spans="1:12" ht="15" customHeight="1">
      <c r="A18" s="169"/>
      <c r="B18" s="179" t="s">
        <v>204</v>
      </c>
      <c r="C18" s="180">
        <f>IF($F18=0,"n/a",SUMPRODUCT(C15:C17,$F15:$F17))</f>
        <v>21500</v>
      </c>
      <c r="D18" s="181"/>
      <c r="E18" s="180">
        <f>IF($F18=0,"n/a",SUMPRODUCT(E15:E17,$F15:$F17))</f>
        <v>14400</v>
      </c>
      <c r="F18" s="182">
        <f>SUM(F15:F17)</f>
        <v>8</v>
      </c>
      <c r="G18" s="180">
        <f>IF($F18=0,"n/a",SUM(G15:G17))</f>
        <v>21500</v>
      </c>
      <c r="H18" s="180">
        <f>IF($F18=0,"n/a",SUM(H15:H17))</f>
        <v>2075</v>
      </c>
      <c r="I18" s="180">
        <f>IF($F18=0,"n/a",SUM(I15:I17))</f>
        <v>1166.75</v>
      </c>
      <c r="J18" s="180">
        <f>IF($F18=0,"n/a",SUM(J15:J17))</f>
        <v>134.625</v>
      </c>
      <c r="K18" s="180">
        <f>IF($F18=0,"n/a",SUM(K15:K17))</f>
        <v>179.5</v>
      </c>
      <c r="L18" s="169"/>
    </row>
    <row r="19" spans="1:12" ht="15" customHeight="1">
      <c r="A19" s="169"/>
      <c r="B19" s="188" t="s">
        <v>202</v>
      </c>
      <c r="C19" s="178">
        <f>C18/$F18</f>
        <v>2687.5</v>
      </c>
      <c r="D19" s="189">
        <f>IF($F18=0,"n/a",SUMPRODUCT(D13:D17,$F13:$F17)/$F18)</f>
        <v>3.625</v>
      </c>
      <c r="E19" s="178">
        <f>E18/$F18</f>
        <v>1800</v>
      </c>
      <c r="F19" s="190"/>
      <c r="G19" s="178">
        <f>G18/$F18</f>
        <v>2687.5</v>
      </c>
      <c r="H19" s="195">
        <f>H18/$F18</f>
        <v>259.375</v>
      </c>
      <c r="I19" s="195">
        <f>I18/$F18</f>
        <v>145.84375</v>
      </c>
      <c r="J19" s="195">
        <f>J18/$F18</f>
        <v>16.828125</v>
      </c>
      <c r="K19" s="195">
        <f>K18/$F18</f>
        <v>22.4375</v>
      </c>
      <c r="L19" s="169"/>
    </row>
    <row r="20" spans="1:12" ht="15" customHeight="1" thickBot="1">
      <c r="A20" s="169"/>
      <c r="B20" s="183" t="s">
        <v>201</v>
      </c>
      <c r="C20" s="184">
        <f>C18/$F11</f>
        <v>107.5</v>
      </c>
      <c r="D20" s="185"/>
      <c r="E20" s="184">
        <f>E18/$F11</f>
        <v>72</v>
      </c>
      <c r="F20" s="186">
        <f>F18/F11</f>
        <v>0.04</v>
      </c>
      <c r="G20" s="184">
        <f>G18/$F11</f>
        <v>107.5</v>
      </c>
      <c r="H20" s="187">
        <f>H18/$F11</f>
        <v>10.375</v>
      </c>
      <c r="I20" s="187">
        <f>I18/$F11</f>
        <v>5.8337500000000002</v>
      </c>
      <c r="J20" s="187">
        <f>J18/$F11</f>
        <v>0.67312499999999997</v>
      </c>
      <c r="K20" s="187">
        <f>K18/$F11</f>
        <v>0.89749999999999996</v>
      </c>
      <c r="L20" s="169"/>
    </row>
    <row r="21" spans="1:12" ht="9.9499999999999993" customHeight="1" thickTop="1">
      <c r="A21" s="169"/>
      <c r="B21" s="196"/>
      <c r="C21" s="197"/>
      <c r="D21" s="198"/>
      <c r="E21" s="197"/>
      <c r="F21" s="199"/>
      <c r="G21" s="178"/>
      <c r="H21" s="178"/>
      <c r="I21" s="178"/>
      <c r="J21" s="178"/>
      <c r="K21" s="178"/>
      <c r="L21" s="169"/>
    </row>
    <row r="22" spans="1:12" s="168" customFormat="1" ht="15" customHeight="1">
      <c r="A22" s="200"/>
      <c r="B22" s="201" t="s">
        <v>171</v>
      </c>
      <c r="C22" s="178">
        <f>IF($F22&gt;0,C11+C18,"n/a")</f>
        <v>450500</v>
      </c>
      <c r="D22" s="200"/>
      <c r="E22" s="178">
        <f>IF($F22&gt;0,E11+E18,"n/a")</f>
        <v>214400</v>
      </c>
      <c r="F22" s="190">
        <f>F11</f>
        <v>200</v>
      </c>
      <c r="G22" s="178">
        <f>IF($F22&gt;0,G11+G18,"n/a")</f>
        <v>450500</v>
      </c>
      <c r="H22" s="178">
        <f>IF($F22&gt;0,H11+H18,"n/a")</f>
        <v>42241.666666666664</v>
      </c>
      <c r="I22" s="178">
        <f>IF($F22&gt;0,I11+I18,"n/a")</f>
        <v>21609.25</v>
      </c>
      <c r="J22" s="178">
        <f>IF($F22&gt;0,J11+J18,"n/a")</f>
        <v>2493.375</v>
      </c>
      <c r="K22" s="178">
        <f>IF($F22&gt;0,K11+K18,"n/a")</f>
        <v>3324.5</v>
      </c>
      <c r="L22" s="200"/>
    </row>
    <row r="23" spans="1:12" s="168" customFormat="1" ht="15" customHeight="1">
      <c r="A23" s="200"/>
      <c r="B23" s="201" t="s">
        <v>205</v>
      </c>
      <c r="C23" s="178">
        <f>IF($F22&gt;0,C22/$F22,"n/a")</f>
        <v>2252.5</v>
      </c>
      <c r="D23" s="189"/>
      <c r="E23" s="178">
        <f>IF($F22&gt;0,E22/$F22,"n/a")</f>
        <v>1072</v>
      </c>
      <c r="F23" s="190"/>
      <c r="G23" s="178">
        <f>IF($F22&gt;0,G22/$F22,"n/a")</f>
        <v>2252.5</v>
      </c>
      <c r="H23" s="195">
        <f>IF($F22&gt;0,H22/$F22,"n/a")</f>
        <v>211.20833333333331</v>
      </c>
      <c r="I23" s="195">
        <f>IF($F22&gt;0,I22/$F22,"n/a")</f>
        <v>108.04625</v>
      </c>
      <c r="J23" s="195">
        <f>IF($F22&gt;0,J22/$F22,"n/a")</f>
        <v>12.466875</v>
      </c>
      <c r="K23" s="195">
        <f>IF($F22&gt;0,K22/$F22,"n/a")</f>
        <v>16.622499999999999</v>
      </c>
      <c r="L23" s="200"/>
    </row>
    <row r="24" spans="1:12" ht="9.9499999999999993" customHeight="1">
      <c r="A24" s="169"/>
      <c r="B24" s="196"/>
      <c r="C24" s="197"/>
      <c r="D24" s="198"/>
      <c r="E24" s="202"/>
      <c r="F24" s="199"/>
      <c r="G24" s="178"/>
      <c r="H24" s="178"/>
      <c r="I24" s="178"/>
      <c r="J24" s="178"/>
      <c r="K24" s="178"/>
      <c r="L24" s="169"/>
    </row>
    <row r="25" spans="1:12" ht="15" customHeight="1">
      <c r="A25" s="169"/>
      <c r="B25" s="181" t="s">
        <v>197</v>
      </c>
      <c r="C25" s="181"/>
      <c r="D25" s="37">
        <v>6.5000000000000002E-2</v>
      </c>
      <c r="E25" s="181"/>
      <c r="F25" s="181"/>
      <c r="G25" s="203"/>
      <c r="H25" s="204"/>
      <c r="I25" s="204"/>
      <c r="J25" s="204"/>
      <c r="K25" s="204"/>
      <c r="L25" s="169"/>
    </row>
    <row r="26" spans="1:12" ht="15" customHeight="1">
      <c r="A26" s="169"/>
      <c r="B26" s="200" t="s">
        <v>12</v>
      </c>
      <c r="C26" s="200"/>
      <c r="D26" s="38">
        <v>7.4999999999999997E-3</v>
      </c>
      <c r="E26" s="200"/>
      <c r="F26" s="200"/>
      <c r="G26" s="192"/>
      <c r="H26" s="205"/>
      <c r="I26" s="205"/>
      <c r="J26" s="205"/>
      <c r="K26" s="205"/>
      <c r="L26" s="169"/>
    </row>
    <row r="27" spans="1:12" ht="15" customHeight="1" thickBot="1">
      <c r="A27" s="169"/>
      <c r="B27" s="206" t="s">
        <v>13</v>
      </c>
      <c r="C27" s="207"/>
      <c r="D27" s="39">
        <v>0.01</v>
      </c>
      <c r="E27" s="206"/>
      <c r="F27" s="206"/>
      <c r="G27" s="208"/>
      <c r="H27" s="208"/>
      <c r="I27" s="208"/>
      <c r="J27" s="208"/>
      <c r="K27" s="208"/>
      <c r="L27" s="169"/>
    </row>
    <row r="28" spans="1:12" ht="14.1" customHeight="1">
      <c r="A28" s="169"/>
      <c r="B28" s="169"/>
      <c r="C28" s="169"/>
      <c r="D28" s="169"/>
      <c r="E28" s="169"/>
      <c r="F28" s="169"/>
      <c r="G28" s="169"/>
      <c r="H28" s="169"/>
      <c r="I28" s="169"/>
      <c r="J28" s="169"/>
      <c r="K28" s="169"/>
      <c r="L28" s="169"/>
    </row>
    <row r="29" spans="1:12" ht="14.1" customHeight="1">
      <c r="A29" s="169"/>
      <c r="B29" s="169"/>
      <c r="C29" s="169"/>
      <c r="D29" s="169"/>
      <c r="E29" s="169"/>
      <c r="F29" s="169"/>
      <c r="G29" s="169"/>
      <c r="H29" s="169"/>
      <c r="I29" s="169"/>
      <c r="J29" s="169"/>
      <c r="K29" s="169"/>
      <c r="L29" s="169"/>
    </row>
  </sheetData>
  <sheetProtection password="C4C7" sheet="1"/>
  <pageMargins left="0.75" right="0.75" top="0.75" bottom="0.75" header="0" footer="0"/>
  <pageSetup scale="84" orientation="landscape" r:id="rId1"/>
  <headerFooter alignWithMargins="0">
    <oddFooter xml:space="preserve">&amp;C&amp;"Calibri,Regular"&amp;11&amp;F
Developed by Kevin C. Dhuyvetter and Damona Doye
Kansas State Universerty and Oklahoma State University
</oddFooter>
  </headerFooter>
  <ignoredErrors>
    <ignoredError sqref="C11:F11 C12 E12:F12 C18:F18 C21:F21 C23:K24 C22:E22 C19:C20 G19:K20 G22:K22 G21:K21 G18:K18 G12:K12 G11:K11 G6:K10 G13:K17" unlockedFormula="1"/>
    <ignoredError sqref="D12 F22 D19:F20" formula="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showOutlineSymbols="0" zoomScaleNormal="100" workbookViewId="0"/>
  </sheetViews>
  <sheetFormatPr defaultColWidth="7.6640625" defaultRowHeight="14.1" customHeight="1"/>
  <cols>
    <col min="1" max="1" width="6.77734375" style="108" customWidth="1"/>
    <col min="2" max="2" width="20.77734375" style="108" customWidth="1"/>
    <col min="3" max="7" width="9.6640625" style="108" customWidth="1"/>
    <col min="8" max="10" width="10.77734375" style="108" customWidth="1"/>
    <col min="11" max="16384" width="7.6640625" style="108"/>
  </cols>
  <sheetData>
    <row r="1" spans="1:11" ht="14.1" customHeight="1">
      <c r="A1" s="58"/>
      <c r="B1" s="58"/>
      <c r="C1" s="58"/>
      <c r="D1" s="58"/>
      <c r="E1" s="58"/>
      <c r="F1" s="58"/>
      <c r="G1" s="58"/>
      <c r="H1" s="58"/>
      <c r="I1" s="58"/>
      <c r="J1" s="58"/>
      <c r="K1" s="58"/>
    </row>
    <row r="2" spans="1:11" ht="14.1" customHeight="1" thickBot="1">
      <c r="A2" s="58"/>
      <c r="B2" s="59" t="s">
        <v>206</v>
      </c>
      <c r="C2" s="58"/>
      <c r="D2" s="58"/>
      <c r="E2" s="58"/>
      <c r="F2" s="58"/>
      <c r="G2" s="58"/>
      <c r="H2" s="58"/>
      <c r="I2" s="58"/>
      <c r="J2" s="58"/>
      <c r="K2" s="58"/>
    </row>
    <row r="3" spans="1:11" ht="14.1" customHeight="1">
      <c r="A3" s="58"/>
      <c r="B3" s="63"/>
      <c r="C3" s="155" t="s">
        <v>175</v>
      </c>
      <c r="D3" s="155" t="s">
        <v>177</v>
      </c>
      <c r="E3" s="156" t="s">
        <v>47</v>
      </c>
      <c r="F3" s="156" t="s">
        <v>174</v>
      </c>
      <c r="G3" s="155" t="s">
        <v>179</v>
      </c>
      <c r="H3" s="155" t="s">
        <v>181</v>
      </c>
      <c r="I3" s="155"/>
      <c r="J3" s="155" t="s">
        <v>183</v>
      </c>
      <c r="K3" s="58"/>
    </row>
    <row r="4" spans="1:11" ht="14.1" customHeight="1">
      <c r="A4" s="58"/>
      <c r="B4" s="157" t="s">
        <v>48</v>
      </c>
      <c r="C4" s="157" t="s">
        <v>176</v>
      </c>
      <c r="D4" s="157" t="s">
        <v>178</v>
      </c>
      <c r="E4" s="157" t="s">
        <v>187</v>
      </c>
      <c r="F4" s="157" t="s">
        <v>172</v>
      </c>
      <c r="G4" s="157" t="s">
        <v>180</v>
      </c>
      <c r="H4" s="157" t="s">
        <v>49</v>
      </c>
      <c r="I4" s="157" t="s">
        <v>50</v>
      </c>
      <c r="J4" s="157" t="s">
        <v>182</v>
      </c>
      <c r="K4" s="58"/>
    </row>
    <row r="5" spans="1:11" ht="15" customHeight="1">
      <c r="A5" s="58"/>
      <c r="B5" s="44" t="s">
        <v>51</v>
      </c>
      <c r="C5" s="45">
        <v>40000</v>
      </c>
      <c r="D5" s="46">
        <v>8</v>
      </c>
      <c r="E5" s="47">
        <v>0</v>
      </c>
      <c r="F5" s="47">
        <v>1</v>
      </c>
      <c r="G5" s="158">
        <f>IF(C5&gt;0,C5*F5,0)</f>
        <v>40000</v>
      </c>
      <c r="H5" s="158">
        <f t="shared" ref="H5:H14" si="0">IF(G5&gt;0,G5*(1-E5)/D5,0)</f>
        <v>5000</v>
      </c>
      <c r="I5" s="158">
        <f t="shared" ref="I5:I14" si="1">IF(G5&gt;0,G5*(1+E5)*D$16,0)</f>
        <v>2600</v>
      </c>
      <c r="J5" s="158">
        <f t="shared" ref="J5:J14" si="2">IF(G5&gt;0,G5*D$15,0)</f>
        <v>100</v>
      </c>
      <c r="K5" s="58"/>
    </row>
    <row r="6" spans="1:11" ht="15" customHeight="1">
      <c r="A6" s="58"/>
      <c r="B6" s="51"/>
      <c r="C6" s="41"/>
      <c r="D6" s="42"/>
      <c r="E6" s="52"/>
      <c r="F6" s="52"/>
      <c r="G6" s="159">
        <f t="shared" ref="G6:G14" si="3">IF(C6&gt;0,C6*F6,0)</f>
        <v>0</v>
      </c>
      <c r="H6" s="159">
        <f t="shared" si="0"/>
        <v>0</v>
      </c>
      <c r="I6" s="159">
        <f t="shared" si="1"/>
        <v>0</v>
      </c>
      <c r="J6" s="159">
        <f t="shared" si="2"/>
        <v>0</v>
      </c>
      <c r="K6" s="58"/>
    </row>
    <row r="7" spans="1:11" ht="15" customHeight="1">
      <c r="A7" s="58"/>
      <c r="B7" s="51"/>
      <c r="C7" s="41"/>
      <c r="D7" s="42"/>
      <c r="E7" s="52"/>
      <c r="F7" s="52"/>
      <c r="G7" s="159">
        <f t="shared" si="3"/>
        <v>0</v>
      </c>
      <c r="H7" s="159">
        <f t="shared" si="0"/>
        <v>0</v>
      </c>
      <c r="I7" s="159">
        <f t="shared" si="1"/>
        <v>0</v>
      </c>
      <c r="J7" s="159">
        <f t="shared" si="2"/>
        <v>0</v>
      </c>
      <c r="K7" s="58"/>
    </row>
    <row r="8" spans="1:11" ht="15" customHeight="1">
      <c r="A8" s="58"/>
      <c r="B8" s="51"/>
      <c r="C8" s="41"/>
      <c r="D8" s="42"/>
      <c r="E8" s="52"/>
      <c r="F8" s="52"/>
      <c r="G8" s="159">
        <f t="shared" si="3"/>
        <v>0</v>
      </c>
      <c r="H8" s="159">
        <f t="shared" si="0"/>
        <v>0</v>
      </c>
      <c r="I8" s="159">
        <f t="shared" si="1"/>
        <v>0</v>
      </c>
      <c r="J8" s="159">
        <f t="shared" si="2"/>
        <v>0</v>
      </c>
      <c r="K8" s="58"/>
    </row>
    <row r="9" spans="1:11" ht="15" customHeight="1">
      <c r="A9" s="58"/>
      <c r="B9" s="51"/>
      <c r="C9" s="41"/>
      <c r="D9" s="42"/>
      <c r="E9" s="52"/>
      <c r="F9" s="52"/>
      <c r="G9" s="159">
        <f t="shared" si="3"/>
        <v>0</v>
      </c>
      <c r="H9" s="159">
        <f t="shared" si="0"/>
        <v>0</v>
      </c>
      <c r="I9" s="159">
        <f t="shared" si="1"/>
        <v>0</v>
      </c>
      <c r="J9" s="159">
        <f t="shared" si="2"/>
        <v>0</v>
      </c>
      <c r="K9" s="58"/>
    </row>
    <row r="10" spans="1:11" ht="15" customHeight="1">
      <c r="A10" s="58"/>
      <c r="B10" s="51"/>
      <c r="C10" s="41"/>
      <c r="D10" s="42"/>
      <c r="E10" s="52"/>
      <c r="F10" s="52"/>
      <c r="G10" s="159">
        <f t="shared" si="3"/>
        <v>0</v>
      </c>
      <c r="H10" s="159">
        <f t="shared" si="0"/>
        <v>0</v>
      </c>
      <c r="I10" s="159">
        <f t="shared" si="1"/>
        <v>0</v>
      </c>
      <c r="J10" s="159">
        <f t="shared" si="2"/>
        <v>0</v>
      </c>
      <c r="K10" s="58"/>
    </row>
    <row r="11" spans="1:11" ht="15" customHeight="1">
      <c r="A11" s="58"/>
      <c r="B11" s="51"/>
      <c r="C11" s="41"/>
      <c r="D11" s="42"/>
      <c r="E11" s="52"/>
      <c r="F11" s="52"/>
      <c r="G11" s="159">
        <f t="shared" si="3"/>
        <v>0</v>
      </c>
      <c r="H11" s="159">
        <f t="shared" si="0"/>
        <v>0</v>
      </c>
      <c r="I11" s="159">
        <f t="shared" si="1"/>
        <v>0</v>
      </c>
      <c r="J11" s="159">
        <f t="shared" si="2"/>
        <v>0</v>
      </c>
      <c r="K11" s="58"/>
    </row>
    <row r="12" spans="1:11" ht="15" customHeight="1">
      <c r="A12" s="58"/>
      <c r="B12" s="51"/>
      <c r="C12" s="41"/>
      <c r="D12" s="42"/>
      <c r="E12" s="52"/>
      <c r="F12" s="52"/>
      <c r="G12" s="159">
        <f t="shared" si="3"/>
        <v>0</v>
      </c>
      <c r="H12" s="159">
        <f t="shared" si="0"/>
        <v>0</v>
      </c>
      <c r="I12" s="159">
        <f t="shared" si="1"/>
        <v>0</v>
      </c>
      <c r="J12" s="159">
        <f t="shared" si="2"/>
        <v>0</v>
      </c>
      <c r="K12" s="58"/>
    </row>
    <row r="13" spans="1:11" ht="15" customHeight="1">
      <c r="A13" s="58"/>
      <c r="B13" s="51"/>
      <c r="C13" s="41"/>
      <c r="D13" s="42"/>
      <c r="E13" s="52"/>
      <c r="F13" s="52"/>
      <c r="G13" s="159">
        <f t="shared" si="3"/>
        <v>0</v>
      </c>
      <c r="H13" s="159">
        <f t="shared" si="0"/>
        <v>0</v>
      </c>
      <c r="I13" s="159">
        <f t="shared" si="1"/>
        <v>0</v>
      </c>
      <c r="J13" s="159">
        <f t="shared" si="2"/>
        <v>0</v>
      </c>
      <c r="K13" s="58"/>
    </row>
    <row r="14" spans="1:11" ht="15" customHeight="1">
      <c r="A14" s="58"/>
      <c r="B14" s="48"/>
      <c r="C14" s="34"/>
      <c r="D14" s="35"/>
      <c r="E14" s="49"/>
      <c r="F14" s="49"/>
      <c r="G14" s="160">
        <f t="shared" si="3"/>
        <v>0</v>
      </c>
      <c r="H14" s="160">
        <f t="shared" si="0"/>
        <v>0</v>
      </c>
      <c r="I14" s="160">
        <f t="shared" si="1"/>
        <v>0</v>
      </c>
      <c r="J14" s="160">
        <f t="shared" si="2"/>
        <v>0</v>
      </c>
      <c r="K14" s="58"/>
    </row>
    <row r="15" spans="1:11" ht="15" customHeight="1">
      <c r="A15" s="58"/>
      <c r="B15" s="71" t="s">
        <v>52</v>
      </c>
      <c r="C15" s="71"/>
      <c r="D15" s="50">
        <v>2.5000000000000001E-3</v>
      </c>
      <c r="E15" s="71"/>
      <c r="F15" s="71"/>
      <c r="G15" s="126"/>
      <c r="H15" s="161"/>
      <c r="I15" s="161"/>
      <c r="J15" s="161"/>
      <c r="K15" s="58"/>
    </row>
    <row r="16" spans="1:11" ht="15" customHeight="1">
      <c r="A16" s="58"/>
      <c r="B16" s="113" t="s">
        <v>53</v>
      </c>
      <c r="C16" s="113"/>
      <c r="D16" s="38">
        <v>6.5000000000000002E-2</v>
      </c>
      <c r="E16" s="113"/>
      <c r="F16" s="113"/>
      <c r="G16" s="126"/>
      <c r="H16" s="161"/>
      <c r="I16" s="161"/>
      <c r="J16" s="161"/>
      <c r="K16" s="58"/>
    </row>
    <row r="17" spans="1:11" ht="15" customHeight="1">
      <c r="A17" s="58"/>
      <c r="B17" s="113" t="s">
        <v>54</v>
      </c>
      <c r="C17" s="162"/>
      <c r="D17" s="163">
        <f>'Sch A'!F11</f>
        <v>200</v>
      </c>
      <c r="E17" s="113"/>
      <c r="F17" s="113"/>
      <c r="G17" s="126"/>
      <c r="H17" s="138"/>
      <c r="I17" s="138"/>
      <c r="J17" s="138"/>
      <c r="K17" s="58"/>
    </row>
    <row r="18" spans="1:11" ht="15" customHeight="1" thickBot="1">
      <c r="A18" s="58"/>
      <c r="B18" s="234" t="s">
        <v>55</v>
      </c>
      <c r="C18" s="234"/>
      <c r="D18" s="235">
        <f>SUM(G5:G14)</f>
        <v>40000</v>
      </c>
      <c r="E18" s="234"/>
      <c r="F18" s="236" t="s">
        <v>184</v>
      </c>
      <c r="G18" s="237">
        <f>D18/D17</f>
        <v>200</v>
      </c>
      <c r="H18" s="237">
        <f>SUM(H5:H14)/$D17</f>
        <v>25</v>
      </c>
      <c r="I18" s="237">
        <f>SUM(I5:I14)/$D17</f>
        <v>13</v>
      </c>
      <c r="J18" s="237">
        <f>SUM(J5:J14)/$D17</f>
        <v>0.5</v>
      </c>
      <c r="K18" s="58"/>
    </row>
    <row r="19" spans="1:11" ht="14.1" customHeight="1">
      <c r="A19" s="58"/>
      <c r="B19" s="164"/>
      <c r="C19" s="164"/>
      <c r="D19" s="164"/>
      <c r="E19" s="164"/>
      <c r="F19" s="164"/>
      <c r="G19" s="164"/>
      <c r="H19" s="62"/>
      <c r="I19" s="62"/>
      <c r="J19" s="62"/>
      <c r="K19" s="58"/>
    </row>
    <row r="20" spans="1:11" ht="14.1" customHeight="1">
      <c r="A20" s="58"/>
      <c r="B20" s="58"/>
      <c r="C20" s="58"/>
      <c r="D20" s="58"/>
      <c r="E20" s="58"/>
      <c r="F20" s="58"/>
      <c r="G20" s="58"/>
      <c r="H20" s="62"/>
      <c r="I20" s="62"/>
      <c r="J20" s="62"/>
      <c r="K20" s="58"/>
    </row>
    <row r="21" spans="1:11" ht="14.1" customHeight="1" thickBot="1">
      <c r="A21" s="58"/>
      <c r="B21" s="59" t="s">
        <v>207</v>
      </c>
      <c r="C21" s="58"/>
      <c r="D21" s="58"/>
      <c r="E21" s="58"/>
      <c r="F21" s="58"/>
      <c r="G21" s="58"/>
      <c r="H21" s="62"/>
      <c r="I21" s="62"/>
      <c r="J21" s="62"/>
      <c r="K21" s="58"/>
    </row>
    <row r="22" spans="1:11" ht="14.1" customHeight="1">
      <c r="A22" s="58"/>
      <c r="B22" s="63"/>
      <c r="C22" s="155" t="s">
        <v>175</v>
      </c>
      <c r="D22" s="155" t="s">
        <v>177</v>
      </c>
      <c r="E22" s="156" t="s">
        <v>47</v>
      </c>
      <c r="F22" s="156" t="s">
        <v>174</v>
      </c>
      <c r="G22" s="155" t="s">
        <v>179</v>
      </c>
      <c r="H22" s="155" t="s">
        <v>181</v>
      </c>
      <c r="I22" s="155"/>
      <c r="J22" s="155" t="s">
        <v>183</v>
      </c>
      <c r="K22" s="58"/>
    </row>
    <row r="23" spans="1:11" ht="14.1" customHeight="1">
      <c r="A23" s="58"/>
      <c r="B23" s="157" t="s">
        <v>48</v>
      </c>
      <c r="C23" s="157" t="s">
        <v>176</v>
      </c>
      <c r="D23" s="157" t="s">
        <v>178</v>
      </c>
      <c r="E23" s="157" t="s">
        <v>187</v>
      </c>
      <c r="F23" s="157" t="s">
        <v>172</v>
      </c>
      <c r="G23" s="157" t="s">
        <v>180</v>
      </c>
      <c r="H23" s="157" t="s">
        <v>49</v>
      </c>
      <c r="I23" s="157" t="s">
        <v>50</v>
      </c>
      <c r="J23" s="157" t="s">
        <v>182</v>
      </c>
      <c r="K23" s="58"/>
    </row>
    <row r="24" spans="1:11" ht="15" customHeight="1">
      <c r="A24" s="58"/>
      <c r="B24" s="44" t="s">
        <v>56</v>
      </c>
      <c r="C24" s="45">
        <v>17000</v>
      </c>
      <c r="D24" s="46">
        <v>10</v>
      </c>
      <c r="E24" s="47">
        <v>0</v>
      </c>
      <c r="F24" s="47">
        <v>1</v>
      </c>
      <c r="G24" s="158">
        <f t="shared" ref="G24:G30" si="4">IF(C24&gt;0,C24*F24,0)</f>
        <v>17000</v>
      </c>
      <c r="H24" s="158">
        <f t="shared" ref="H24:H30" si="5">IF(G24&gt;0,G24*(1-E24)/D24,0)</f>
        <v>1700</v>
      </c>
      <c r="I24" s="158">
        <f t="shared" ref="I24:I30" si="6">IF(G24&gt;0,G24*(1+E24)*D$32,0)</f>
        <v>1105</v>
      </c>
      <c r="J24" s="158">
        <f t="shared" ref="J24:J30" si="7">IF(G24&gt;0,G24*D$31,0)</f>
        <v>255</v>
      </c>
      <c r="K24" s="58"/>
    </row>
    <row r="25" spans="1:11" ht="15" customHeight="1">
      <c r="A25" s="58"/>
      <c r="B25" s="51"/>
      <c r="C25" s="41"/>
      <c r="D25" s="42"/>
      <c r="E25" s="52"/>
      <c r="F25" s="52"/>
      <c r="G25" s="159">
        <f t="shared" si="4"/>
        <v>0</v>
      </c>
      <c r="H25" s="159">
        <f t="shared" si="5"/>
        <v>0</v>
      </c>
      <c r="I25" s="159">
        <f t="shared" si="6"/>
        <v>0</v>
      </c>
      <c r="J25" s="159">
        <f t="shared" si="7"/>
        <v>0</v>
      </c>
      <c r="K25" s="58"/>
    </row>
    <row r="26" spans="1:11" ht="15" customHeight="1">
      <c r="A26" s="58"/>
      <c r="B26" s="51"/>
      <c r="C26" s="41"/>
      <c r="D26" s="42"/>
      <c r="E26" s="52"/>
      <c r="F26" s="52"/>
      <c r="G26" s="159">
        <f t="shared" si="4"/>
        <v>0</v>
      </c>
      <c r="H26" s="159">
        <f t="shared" si="5"/>
        <v>0</v>
      </c>
      <c r="I26" s="159">
        <f t="shared" si="6"/>
        <v>0</v>
      </c>
      <c r="J26" s="159">
        <f t="shared" si="7"/>
        <v>0</v>
      </c>
      <c r="K26" s="58"/>
    </row>
    <row r="27" spans="1:11" ht="15" customHeight="1">
      <c r="A27" s="58"/>
      <c r="B27" s="51"/>
      <c r="C27" s="41"/>
      <c r="D27" s="42"/>
      <c r="E27" s="52"/>
      <c r="F27" s="52"/>
      <c r="G27" s="159">
        <f t="shared" si="4"/>
        <v>0</v>
      </c>
      <c r="H27" s="159">
        <f t="shared" si="5"/>
        <v>0</v>
      </c>
      <c r="I27" s="159">
        <f t="shared" si="6"/>
        <v>0</v>
      </c>
      <c r="J27" s="159">
        <f t="shared" si="7"/>
        <v>0</v>
      </c>
      <c r="K27" s="58"/>
    </row>
    <row r="28" spans="1:11" ht="15" customHeight="1">
      <c r="A28" s="58"/>
      <c r="B28" s="51"/>
      <c r="C28" s="41"/>
      <c r="D28" s="42"/>
      <c r="E28" s="52"/>
      <c r="F28" s="52"/>
      <c r="G28" s="159">
        <f t="shared" si="4"/>
        <v>0</v>
      </c>
      <c r="H28" s="159">
        <f t="shared" si="5"/>
        <v>0</v>
      </c>
      <c r="I28" s="159">
        <f t="shared" si="6"/>
        <v>0</v>
      </c>
      <c r="J28" s="159">
        <f t="shared" si="7"/>
        <v>0</v>
      </c>
      <c r="K28" s="58"/>
    </row>
    <row r="29" spans="1:11" ht="15" customHeight="1">
      <c r="A29" s="58"/>
      <c r="B29" s="51"/>
      <c r="C29" s="41"/>
      <c r="D29" s="42"/>
      <c r="E29" s="52"/>
      <c r="F29" s="52"/>
      <c r="G29" s="159">
        <f t="shared" si="4"/>
        <v>0</v>
      </c>
      <c r="H29" s="159">
        <f t="shared" si="5"/>
        <v>0</v>
      </c>
      <c r="I29" s="159">
        <f t="shared" si="6"/>
        <v>0</v>
      </c>
      <c r="J29" s="159">
        <f t="shared" si="7"/>
        <v>0</v>
      </c>
      <c r="K29" s="58"/>
    </row>
    <row r="30" spans="1:11" ht="15" customHeight="1">
      <c r="A30" s="58"/>
      <c r="B30" s="48"/>
      <c r="C30" s="34"/>
      <c r="D30" s="35"/>
      <c r="E30" s="49"/>
      <c r="F30" s="49"/>
      <c r="G30" s="160">
        <f t="shared" si="4"/>
        <v>0</v>
      </c>
      <c r="H30" s="160">
        <f t="shared" si="5"/>
        <v>0</v>
      </c>
      <c r="I30" s="160">
        <f t="shared" si="6"/>
        <v>0</v>
      </c>
      <c r="J30" s="160">
        <f t="shared" si="7"/>
        <v>0</v>
      </c>
      <c r="K30" s="58"/>
    </row>
    <row r="31" spans="1:11" ht="15" customHeight="1">
      <c r="A31" s="58"/>
      <c r="B31" s="71" t="s">
        <v>57</v>
      </c>
      <c r="C31" s="71"/>
      <c r="D31" s="50">
        <v>1.4999999999999999E-2</v>
      </c>
      <c r="E31" s="71"/>
      <c r="F31" s="71"/>
      <c r="G31" s="165"/>
      <c r="H31" s="62"/>
      <c r="I31" s="62"/>
      <c r="J31" s="62"/>
      <c r="K31" s="58"/>
    </row>
    <row r="32" spans="1:11" ht="15" customHeight="1">
      <c r="A32" s="58"/>
      <c r="B32" s="113" t="s">
        <v>58</v>
      </c>
      <c r="C32" s="113"/>
      <c r="D32" s="38">
        <f>D16</f>
        <v>6.5000000000000002E-2</v>
      </c>
      <c r="E32" s="113"/>
      <c r="F32" s="113"/>
      <c r="G32" s="165"/>
      <c r="H32" s="62"/>
      <c r="I32" s="62"/>
      <c r="J32" s="62"/>
      <c r="K32" s="58"/>
    </row>
    <row r="33" spans="1:11" ht="15" customHeight="1">
      <c r="A33" s="58"/>
      <c r="B33" s="113" t="s">
        <v>54</v>
      </c>
      <c r="C33" s="113"/>
      <c r="D33" s="166">
        <f>D17</f>
        <v>200</v>
      </c>
      <c r="E33" s="113"/>
      <c r="F33" s="113"/>
      <c r="G33" s="165"/>
      <c r="H33" s="58"/>
      <c r="I33" s="58"/>
      <c r="J33" s="58"/>
      <c r="K33" s="58"/>
    </row>
    <row r="34" spans="1:11" ht="15" customHeight="1" thickBot="1">
      <c r="A34" s="58"/>
      <c r="B34" s="234" t="s">
        <v>55</v>
      </c>
      <c r="C34" s="234"/>
      <c r="D34" s="235">
        <f>SUM(G24:G30)</f>
        <v>17000</v>
      </c>
      <c r="E34" s="234"/>
      <c r="F34" s="236" t="s">
        <v>184</v>
      </c>
      <c r="G34" s="237">
        <f>D34/D33</f>
        <v>85</v>
      </c>
      <c r="H34" s="237">
        <f>SUM(H24:H30)/$D33</f>
        <v>8.5</v>
      </c>
      <c r="I34" s="237">
        <f>SUM(I24:I30)/$D33</f>
        <v>5.5250000000000004</v>
      </c>
      <c r="J34" s="237">
        <f>SUM(J24:J30)/$D33</f>
        <v>1.2749999999999999</v>
      </c>
      <c r="K34" s="58"/>
    </row>
    <row r="35" spans="1:11" ht="14.1" customHeight="1">
      <c r="A35" s="58"/>
      <c r="B35" s="164"/>
      <c r="C35" s="164"/>
      <c r="D35" s="164"/>
      <c r="E35" s="164"/>
      <c r="F35" s="164"/>
      <c r="G35" s="164"/>
      <c r="H35" s="58"/>
      <c r="I35" s="58"/>
      <c r="J35" s="58"/>
      <c r="K35" s="58"/>
    </row>
    <row r="36" spans="1:11" ht="14.1" customHeight="1">
      <c r="A36" s="58"/>
      <c r="B36" s="58"/>
      <c r="C36" s="58"/>
      <c r="D36" s="58"/>
      <c r="E36" s="58"/>
      <c r="F36" s="58"/>
      <c r="G36" s="58"/>
      <c r="H36" s="58"/>
      <c r="I36" s="58"/>
      <c r="J36" s="58"/>
      <c r="K36" s="58"/>
    </row>
  </sheetData>
  <sheetProtection password="C4C7" sheet="1"/>
  <phoneticPr fontId="2" type="noConversion"/>
  <pageMargins left="0.75" right="0.75" top="0.75" bottom="0.75" header="0" footer="0"/>
  <pageSetup scale="87" orientation="landscape" r:id="rId1"/>
  <headerFooter alignWithMargins="0">
    <oddFooter xml:space="preserve">&amp;C&amp;"Calibri,Regular"&amp;11&amp;F
Developed by Kevin C. Dhuyvetter and Damona Doye
Kansas State Universerty and Oklahoma State University
</oddFooter>
  </headerFooter>
  <ignoredErrors>
    <ignoredError sqref="G5:J19 D32 D17:D19 D33:D37 G20:J35 D20:D3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showOutlineSymbols="0" zoomScaleNormal="100" workbookViewId="0"/>
  </sheetViews>
  <sheetFormatPr defaultColWidth="7.6640625" defaultRowHeight="15"/>
  <cols>
    <col min="1" max="1" width="6.77734375" style="108" customWidth="1"/>
    <col min="2" max="8" width="9.21875" style="108" customWidth="1"/>
    <col min="9" max="16384" width="7.6640625" style="108"/>
  </cols>
  <sheetData>
    <row r="1" spans="1:9">
      <c r="A1" s="58"/>
      <c r="B1" s="58"/>
      <c r="C1" s="58"/>
      <c r="D1" s="58"/>
      <c r="E1" s="58"/>
      <c r="F1" s="58"/>
      <c r="G1" s="58"/>
      <c r="H1" s="58"/>
      <c r="I1" s="58"/>
    </row>
    <row r="2" spans="1:9" ht="16.5" thickBot="1">
      <c r="A2" s="58"/>
      <c r="B2" s="59" t="s">
        <v>208</v>
      </c>
      <c r="C2" s="58"/>
      <c r="D2" s="58"/>
      <c r="E2" s="58"/>
      <c r="F2" s="58"/>
      <c r="G2" s="58"/>
      <c r="H2" s="58"/>
      <c r="I2" s="58"/>
    </row>
    <row r="3" spans="1:9" ht="9.9499999999999993" customHeight="1">
      <c r="A3" s="58"/>
      <c r="B3" s="63"/>
      <c r="C3" s="63"/>
      <c r="D3" s="63"/>
      <c r="E3" s="63"/>
      <c r="F3" s="63"/>
      <c r="G3" s="63"/>
      <c r="H3" s="63"/>
      <c r="I3" s="58"/>
    </row>
    <row r="4" spans="1:9" ht="15" customHeight="1">
      <c r="A4" s="58"/>
      <c r="B4" s="58" t="s">
        <v>169</v>
      </c>
      <c r="C4" s="58"/>
      <c r="D4" s="58"/>
      <c r="E4" s="58"/>
      <c r="F4" s="58"/>
      <c r="G4" s="58"/>
      <c r="H4" s="137">
        <v>8.5</v>
      </c>
      <c r="I4" s="58"/>
    </row>
    <row r="5" spans="1:9" ht="15" customHeight="1">
      <c r="A5" s="58"/>
      <c r="B5" s="58" t="s">
        <v>170</v>
      </c>
      <c r="C5" s="58"/>
      <c r="D5" s="58"/>
      <c r="E5" s="58"/>
      <c r="F5" s="58"/>
      <c r="G5" s="58"/>
      <c r="H5" s="137">
        <v>4.8</v>
      </c>
      <c r="I5" s="58"/>
    </row>
    <row r="6" spans="1:9" ht="15" customHeight="1">
      <c r="A6" s="58"/>
      <c r="B6" s="58" t="s">
        <v>59</v>
      </c>
      <c r="C6" s="58"/>
      <c r="D6" s="58"/>
      <c r="E6" s="58"/>
      <c r="F6" s="58"/>
      <c r="G6" s="58"/>
      <c r="H6" s="54">
        <v>0.16</v>
      </c>
      <c r="I6" s="58"/>
    </row>
    <row r="7" spans="1:9" ht="15" customHeight="1">
      <c r="A7" s="58"/>
      <c r="B7" s="58" t="s">
        <v>60</v>
      </c>
      <c r="C7" s="58"/>
      <c r="D7" s="58"/>
      <c r="E7" s="58"/>
      <c r="F7" s="58"/>
      <c r="G7" s="58"/>
      <c r="H7" s="137">
        <v>9.4</v>
      </c>
      <c r="I7" s="58"/>
    </row>
    <row r="8" spans="1:9" ht="15" customHeight="1">
      <c r="A8" s="58"/>
      <c r="B8" s="58" t="s">
        <v>61</v>
      </c>
      <c r="C8" s="58"/>
      <c r="D8" s="58"/>
      <c r="E8" s="58"/>
      <c r="F8" s="58"/>
      <c r="G8" s="58"/>
      <c r="H8" s="138">
        <f>General!K15</f>
        <v>25</v>
      </c>
      <c r="I8" s="58"/>
    </row>
    <row r="9" spans="1:9" ht="15" customHeight="1">
      <c r="A9" s="58"/>
      <c r="B9" s="71" t="s">
        <v>62</v>
      </c>
      <c r="C9" s="71"/>
      <c r="D9" s="71"/>
      <c r="E9" s="71"/>
      <c r="F9" s="71"/>
      <c r="G9" s="71"/>
      <c r="H9" s="139">
        <f>H4+IF(General!K4=1,0,H5)*H6+H7*'Sch A'!F20</f>
        <v>8.8759999999999994</v>
      </c>
      <c r="I9" s="58"/>
    </row>
    <row r="10" spans="1:9">
      <c r="A10" s="58"/>
      <c r="B10" s="58"/>
      <c r="C10" s="58"/>
      <c r="D10" s="58"/>
      <c r="E10" s="58"/>
      <c r="F10" s="58"/>
      <c r="G10" s="58"/>
      <c r="H10" s="58"/>
      <c r="I10" s="58"/>
    </row>
    <row r="11" spans="1:9">
      <c r="A11" s="58"/>
      <c r="B11" s="58"/>
      <c r="C11" s="58"/>
      <c r="D11" s="58"/>
      <c r="E11" s="140"/>
      <c r="F11" s="140"/>
      <c r="G11" s="140" t="s">
        <v>63</v>
      </c>
      <c r="H11" s="58"/>
      <c r="I11" s="58"/>
    </row>
    <row r="12" spans="1:9">
      <c r="A12" s="58"/>
      <c r="B12" s="67"/>
      <c r="C12" s="67"/>
      <c r="D12" s="67"/>
      <c r="E12" s="140" t="s">
        <v>64</v>
      </c>
      <c r="F12" s="140" t="s">
        <v>65</v>
      </c>
      <c r="G12" s="140" t="s">
        <v>66</v>
      </c>
      <c r="H12" s="138" t="s">
        <v>20</v>
      </c>
      <c r="I12" s="58"/>
    </row>
    <row r="13" spans="1:9">
      <c r="A13" s="58"/>
      <c r="B13" s="71" t="s">
        <v>67</v>
      </c>
      <c r="C13" s="71"/>
      <c r="D13" s="71"/>
      <c r="E13" s="46">
        <v>35</v>
      </c>
      <c r="F13" s="46">
        <v>40</v>
      </c>
      <c r="G13" s="46">
        <v>15.5</v>
      </c>
      <c r="H13" s="141"/>
      <c r="I13" s="58"/>
    </row>
    <row r="14" spans="1:9">
      <c r="A14" s="58"/>
      <c r="B14" s="142" t="s">
        <v>68</v>
      </c>
      <c r="C14" s="142"/>
      <c r="D14" s="142"/>
      <c r="E14" s="135">
        <f>60+60</f>
        <v>120</v>
      </c>
      <c r="F14" s="135">
        <v>120</v>
      </c>
      <c r="G14" s="135">
        <v>200</v>
      </c>
      <c r="H14" s="143"/>
      <c r="I14" s="58"/>
    </row>
    <row r="15" spans="1:9">
      <c r="A15" s="58"/>
      <c r="B15" s="71" t="s">
        <v>69</v>
      </c>
      <c r="C15" s="71"/>
      <c r="D15" s="71"/>
      <c r="E15" s="144">
        <f>E13*E14</f>
        <v>4200</v>
      </c>
      <c r="F15" s="144">
        <f>F13*F14*'Sch A'!F20</f>
        <v>192</v>
      </c>
      <c r="G15" s="144">
        <f>IF(General!K$4=1,0,G13*G14*H$6)</f>
        <v>0</v>
      </c>
      <c r="H15" s="145">
        <f>SUM(E15:G15)</f>
        <v>4392</v>
      </c>
      <c r="I15" s="58"/>
    </row>
    <row r="16" spans="1:9" ht="15.75" thickBot="1">
      <c r="A16" s="58"/>
      <c r="B16" s="146"/>
      <c r="C16" s="146"/>
      <c r="D16" s="146"/>
      <c r="E16" s="146"/>
      <c r="F16" s="146"/>
      <c r="G16" s="146"/>
      <c r="H16" s="147"/>
      <c r="I16" s="58"/>
    </row>
    <row r="17" spans="1:9">
      <c r="A17" s="58"/>
      <c r="B17" s="113" t="s">
        <v>163</v>
      </c>
      <c r="C17" s="113"/>
      <c r="D17" s="113"/>
      <c r="E17" s="113"/>
      <c r="F17" s="113"/>
      <c r="G17" s="113"/>
      <c r="H17" s="126"/>
      <c r="I17" s="58"/>
    </row>
    <row r="18" spans="1:9">
      <c r="A18" s="58"/>
      <c r="B18" s="58"/>
      <c r="C18" s="58"/>
      <c r="D18" s="58"/>
      <c r="E18" s="58"/>
      <c r="F18" s="58"/>
      <c r="G18" s="58"/>
      <c r="H18" s="138"/>
      <c r="I18" s="58"/>
    </row>
    <row r="19" spans="1:9">
      <c r="A19" s="58"/>
      <c r="B19" s="58"/>
      <c r="C19" s="58"/>
      <c r="D19" s="58"/>
      <c r="E19" s="58"/>
      <c r="F19" s="58"/>
      <c r="G19" s="58"/>
      <c r="H19" s="138"/>
      <c r="I19" s="58"/>
    </row>
    <row r="20" spans="1:9">
      <c r="A20" s="58"/>
      <c r="B20" s="58"/>
      <c r="C20" s="58"/>
      <c r="D20" s="58"/>
      <c r="E20" s="140"/>
      <c r="F20" s="140"/>
      <c r="G20" s="140" t="s">
        <v>63</v>
      </c>
      <c r="H20" s="138"/>
      <c r="I20" s="58"/>
    </row>
    <row r="21" spans="1:9">
      <c r="A21" s="58"/>
      <c r="B21" s="67"/>
      <c r="C21" s="67"/>
      <c r="D21" s="67"/>
      <c r="E21" s="140" t="s">
        <v>64</v>
      </c>
      <c r="F21" s="140" t="s">
        <v>65</v>
      </c>
      <c r="G21" s="140" t="s">
        <v>66</v>
      </c>
      <c r="H21" s="138" t="s">
        <v>20</v>
      </c>
      <c r="I21" s="58"/>
    </row>
    <row r="22" spans="1:9">
      <c r="A22" s="58"/>
      <c r="B22" s="71" t="s">
        <v>70</v>
      </c>
      <c r="C22" s="71"/>
      <c r="D22" s="71"/>
      <c r="E22" s="46">
        <v>0</v>
      </c>
      <c r="F22" s="46">
        <v>0</v>
      </c>
      <c r="G22" s="46">
        <v>0</v>
      </c>
      <c r="H22" s="141"/>
      <c r="I22" s="58"/>
    </row>
    <row r="23" spans="1:9">
      <c r="A23" s="58"/>
      <c r="B23" s="142" t="s">
        <v>68</v>
      </c>
      <c r="C23" s="142"/>
      <c r="D23" s="142"/>
      <c r="E23" s="135">
        <v>0</v>
      </c>
      <c r="F23" s="135">
        <v>0</v>
      </c>
      <c r="G23" s="135">
        <v>0</v>
      </c>
      <c r="H23" s="143"/>
      <c r="I23" s="58"/>
    </row>
    <row r="24" spans="1:9">
      <c r="A24" s="58"/>
      <c r="B24" s="71" t="s">
        <v>71</v>
      </c>
      <c r="C24" s="71"/>
      <c r="D24" s="71"/>
      <c r="E24" s="144">
        <f>E22*E23</f>
        <v>0</v>
      </c>
      <c r="F24" s="144">
        <f>F22*F23*'Sch A'!F20</f>
        <v>0</v>
      </c>
      <c r="G24" s="144">
        <f>IF(General!K$4=1,0,G22*G23*H$6)</f>
        <v>0</v>
      </c>
      <c r="H24" s="145">
        <f>SUM(E24:G24)</f>
        <v>0</v>
      </c>
      <c r="I24" s="58"/>
    </row>
    <row r="25" spans="1:9">
      <c r="A25" s="58"/>
      <c r="B25" s="58"/>
      <c r="C25" s="58"/>
      <c r="D25" s="58"/>
      <c r="E25" s="148"/>
      <c r="F25" s="148"/>
      <c r="G25" s="148"/>
      <c r="H25" s="149"/>
      <c r="I25" s="58"/>
    </row>
    <row r="26" spans="1:9">
      <c r="A26" s="58"/>
      <c r="B26" s="142" t="s">
        <v>72</v>
      </c>
      <c r="C26" s="142"/>
      <c r="D26" s="142"/>
      <c r="E26" s="136">
        <v>25</v>
      </c>
      <c r="F26" s="136">
        <v>36</v>
      </c>
      <c r="G26" s="136">
        <v>0</v>
      </c>
      <c r="H26" s="150"/>
      <c r="I26" s="58"/>
    </row>
    <row r="27" spans="1:9">
      <c r="A27" s="58"/>
      <c r="B27" s="142" t="s">
        <v>73</v>
      </c>
      <c r="C27" s="142"/>
      <c r="D27" s="142"/>
      <c r="E27" s="136">
        <v>60</v>
      </c>
      <c r="F27" s="136">
        <v>60</v>
      </c>
      <c r="G27" s="136">
        <v>0</v>
      </c>
      <c r="H27" s="150"/>
      <c r="I27" s="58"/>
    </row>
    <row r="28" spans="1:9">
      <c r="A28" s="58"/>
      <c r="B28" s="71" t="s">
        <v>74</v>
      </c>
      <c r="C28" s="71"/>
      <c r="D28" s="71"/>
      <c r="E28" s="144">
        <f>E26*E27</f>
        <v>1500</v>
      </c>
      <c r="F28" s="144">
        <f>F26*F27*'Sch A'!F20</f>
        <v>86.4</v>
      </c>
      <c r="G28" s="144">
        <f>IF(General!K$4=1,0,G26*G27*H$6)</f>
        <v>0</v>
      </c>
      <c r="H28" s="145">
        <f>SUM(E28:G28)</f>
        <v>1586.4</v>
      </c>
      <c r="I28" s="58"/>
    </row>
    <row r="29" spans="1:9">
      <c r="A29" s="58"/>
      <c r="B29" s="58"/>
      <c r="C29" s="58"/>
      <c r="D29" s="58"/>
      <c r="E29" s="148"/>
      <c r="F29" s="148"/>
      <c r="G29" s="148"/>
      <c r="H29" s="149"/>
      <c r="I29" s="58"/>
    </row>
    <row r="30" spans="1:9">
      <c r="A30" s="58"/>
      <c r="B30" s="142" t="s">
        <v>75</v>
      </c>
      <c r="C30" s="142"/>
      <c r="D30" s="142"/>
      <c r="E30" s="136">
        <v>0</v>
      </c>
      <c r="F30" s="136">
        <v>0</v>
      </c>
      <c r="G30" s="136">
        <v>3</v>
      </c>
      <c r="H30" s="150"/>
      <c r="I30" s="58"/>
    </row>
    <row r="31" spans="1:9">
      <c r="A31" s="58"/>
      <c r="B31" s="142" t="s">
        <v>68</v>
      </c>
      <c r="C31" s="142"/>
      <c r="D31" s="142"/>
      <c r="E31" s="136">
        <v>60</v>
      </c>
      <c r="F31" s="136">
        <v>60</v>
      </c>
      <c r="G31" s="136">
        <v>198</v>
      </c>
      <c r="H31" s="150"/>
      <c r="I31" s="58"/>
    </row>
    <row r="32" spans="1:9">
      <c r="A32" s="58"/>
      <c r="B32" s="71" t="s">
        <v>76</v>
      </c>
      <c r="C32" s="71"/>
      <c r="D32" s="71"/>
      <c r="E32" s="151">
        <f>E30*E31</f>
        <v>0</v>
      </c>
      <c r="F32" s="151">
        <f>F30*F31*'Sch A'!F20</f>
        <v>0</v>
      </c>
      <c r="G32" s="151">
        <f>IF(General!K$4=1,0,G30*G31*H$6)</f>
        <v>0</v>
      </c>
      <c r="H32" s="152">
        <f>SUM(E32:G32)</f>
        <v>0</v>
      </c>
      <c r="I32" s="58"/>
    </row>
    <row r="33" spans="1:9">
      <c r="A33" s="58"/>
      <c r="B33" s="58"/>
      <c r="C33" s="58"/>
      <c r="D33" s="58"/>
      <c r="E33" s="58"/>
      <c r="F33" s="58"/>
      <c r="G33" s="58"/>
      <c r="H33" s="138"/>
      <c r="I33" s="58"/>
    </row>
    <row r="34" spans="1:9">
      <c r="A34" s="58"/>
      <c r="B34" s="142" t="s">
        <v>77</v>
      </c>
      <c r="C34" s="142"/>
      <c r="D34" s="142"/>
      <c r="E34" s="135">
        <v>1.5</v>
      </c>
      <c r="F34" s="135">
        <v>1</v>
      </c>
      <c r="G34" s="135">
        <v>0.2</v>
      </c>
      <c r="H34" s="143"/>
      <c r="I34" s="58"/>
    </row>
    <row r="35" spans="1:9">
      <c r="A35" s="58"/>
      <c r="B35" s="142" t="s">
        <v>68</v>
      </c>
      <c r="C35" s="142"/>
      <c r="D35" s="142"/>
      <c r="E35" s="135">
        <v>60</v>
      </c>
      <c r="F35" s="135">
        <v>30</v>
      </c>
      <c r="G35" s="135">
        <v>200</v>
      </c>
      <c r="H35" s="143"/>
      <c r="I35" s="58"/>
    </row>
    <row r="36" spans="1:9">
      <c r="A36" s="58"/>
      <c r="B36" s="71" t="s">
        <v>78</v>
      </c>
      <c r="C36" s="71"/>
      <c r="D36" s="71"/>
      <c r="E36" s="153">
        <f>E34*E35</f>
        <v>90</v>
      </c>
      <c r="F36" s="153">
        <f>F34*F35*'Sch A'!F20</f>
        <v>1.2</v>
      </c>
      <c r="G36" s="153">
        <f>IF(General!K$4=1,0,G34*G35*H$6)</f>
        <v>0</v>
      </c>
      <c r="H36" s="154">
        <f>SUM(E36:G36)</f>
        <v>91.2</v>
      </c>
      <c r="I36" s="58"/>
    </row>
    <row r="37" spans="1:9" ht="15.75" thickBot="1">
      <c r="A37" s="58"/>
      <c r="B37" s="67"/>
      <c r="C37" s="67"/>
      <c r="D37" s="67"/>
      <c r="E37" s="67"/>
      <c r="F37" s="67"/>
      <c r="G37" s="67"/>
      <c r="H37" s="67"/>
      <c r="I37" s="58"/>
    </row>
    <row r="38" spans="1:9">
      <c r="A38" s="58"/>
      <c r="B38" s="91" t="s">
        <v>163</v>
      </c>
      <c r="C38" s="91"/>
      <c r="D38" s="91"/>
      <c r="E38" s="91"/>
      <c r="F38" s="91"/>
      <c r="G38" s="91"/>
      <c r="H38" s="91"/>
      <c r="I38" s="58"/>
    </row>
    <row r="39" spans="1:9">
      <c r="A39" s="58"/>
      <c r="B39" s="58"/>
      <c r="C39" s="58"/>
      <c r="D39" s="58"/>
      <c r="E39" s="58"/>
      <c r="F39" s="58"/>
      <c r="G39" s="58"/>
      <c r="H39" s="58"/>
      <c r="I39" s="58"/>
    </row>
  </sheetData>
  <sheetProtection password="C4C7" sheet="1"/>
  <phoneticPr fontId="2" type="noConversion"/>
  <pageMargins left="0.75" right="0.75" top="0.75" bottom="0.75" header="0" footer="0"/>
  <pageSetup scale="94" orientation="portrait" r:id="rId1"/>
  <headerFooter alignWithMargins="0">
    <oddFooter>&amp;C&amp;"Calibri,Regular"&amp;11&amp;F
Developed by Kevin C. Dhuyvetter and Damona Doye
Kansas State University and Oklahoma State University</oddFooter>
  </headerFooter>
  <ignoredErrors>
    <ignoredError sqref="H8:H9 E15:H34 E14:F14 H14 E36:H37 E35:F35 H35"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showOutlineSymbols="0" zoomScaleNormal="100" workbookViewId="0"/>
  </sheetViews>
  <sheetFormatPr defaultColWidth="7.6640625" defaultRowHeight="15"/>
  <cols>
    <col min="1" max="1" width="6.77734375" style="108" customWidth="1"/>
    <col min="2" max="2" width="3.6640625" style="108" customWidth="1"/>
    <col min="3" max="5" width="9.6640625" style="108" customWidth="1"/>
    <col min="6" max="8" width="9.21875" style="108" customWidth="1"/>
    <col min="9" max="9" width="2.77734375" style="112" customWidth="1"/>
    <col min="10" max="16384" width="7.6640625" style="108"/>
  </cols>
  <sheetData>
    <row r="1" spans="1:10">
      <c r="A1" s="58"/>
      <c r="B1" s="58"/>
      <c r="C1" s="58"/>
      <c r="D1" s="58"/>
      <c r="E1" s="58"/>
      <c r="F1" s="58"/>
      <c r="G1" s="58"/>
      <c r="H1" s="58"/>
      <c r="I1" s="113"/>
      <c r="J1" s="58"/>
    </row>
    <row r="2" spans="1:10" ht="16.5" thickBot="1">
      <c r="A2" s="58"/>
      <c r="B2" s="59" t="s">
        <v>209</v>
      </c>
      <c r="C2" s="58"/>
      <c r="D2" s="58"/>
      <c r="E2" s="58"/>
      <c r="F2" s="58"/>
      <c r="G2" s="58"/>
      <c r="H2" s="58"/>
      <c r="I2" s="113"/>
      <c r="J2" s="58"/>
    </row>
    <row r="3" spans="1:10">
      <c r="A3" s="58"/>
      <c r="B3" s="91"/>
      <c r="C3" s="91"/>
      <c r="D3" s="91"/>
      <c r="E3" s="91"/>
      <c r="F3" s="91"/>
      <c r="G3" s="91"/>
      <c r="H3" s="91"/>
      <c r="I3" s="91"/>
      <c r="J3" s="58"/>
    </row>
    <row r="4" spans="1:10" ht="15.75" thickBot="1">
      <c r="A4" s="58"/>
      <c r="B4" s="114" t="s">
        <v>79</v>
      </c>
      <c r="C4" s="113"/>
      <c r="D4" s="113"/>
      <c r="E4" s="113"/>
      <c r="F4" s="113"/>
      <c r="G4" s="113"/>
      <c r="H4" s="113"/>
      <c r="I4" s="113"/>
      <c r="J4" s="58"/>
    </row>
    <row r="5" spans="1:10" ht="17.45" customHeight="1">
      <c r="A5" s="58"/>
      <c r="B5" s="115"/>
      <c r="C5" s="115" t="s">
        <v>80</v>
      </c>
      <c r="D5" s="115"/>
      <c r="E5" s="115"/>
      <c r="F5" s="115"/>
      <c r="G5" s="115"/>
      <c r="H5" s="116">
        <f>General!K9+General!K12*General!J15</f>
        <v>2145</v>
      </c>
      <c r="I5" s="117"/>
      <c r="J5" s="58"/>
    </row>
    <row r="6" spans="1:10" ht="17.45" customHeight="1">
      <c r="A6" s="58"/>
      <c r="B6" s="113"/>
      <c r="C6" s="113" t="s">
        <v>81</v>
      </c>
      <c r="D6" s="113"/>
      <c r="E6" s="113"/>
      <c r="F6" s="113"/>
      <c r="G6" s="113"/>
      <c r="H6" s="118">
        <f>'Sch B &amp; C'!G18</f>
        <v>200</v>
      </c>
      <c r="I6" s="119"/>
      <c r="J6" s="58"/>
    </row>
    <row r="7" spans="1:10" ht="17.45" customHeight="1">
      <c r="A7" s="58"/>
      <c r="B7" s="113"/>
      <c r="C7" s="113" t="s">
        <v>82</v>
      </c>
      <c r="D7" s="113"/>
      <c r="E7" s="113"/>
      <c r="F7" s="113"/>
      <c r="G7" s="113"/>
      <c r="H7" s="118">
        <f>'Sch B &amp; C'!G34</f>
        <v>85</v>
      </c>
      <c r="I7" s="119"/>
      <c r="J7" s="58"/>
    </row>
    <row r="8" spans="1:10" ht="17.45" customHeight="1">
      <c r="A8" s="58"/>
      <c r="B8" s="113"/>
      <c r="C8" s="113" t="s">
        <v>83</v>
      </c>
      <c r="D8" s="113"/>
      <c r="E8" s="113"/>
      <c r="F8" s="113"/>
      <c r="G8" s="113"/>
      <c r="H8" s="118">
        <f>IF(General!J25&gt;0,General!I23*General!I29,General!J27*General!I29)</f>
        <v>3626.7526881720428</v>
      </c>
      <c r="I8" s="119"/>
      <c r="J8" s="58"/>
    </row>
    <row r="9" spans="1:10" ht="17.45" customHeight="1">
      <c r="A9" s="58"/>
      <c r="B9" s="113"/>
      <c r="C9" s="113" t="s">
        <v>84</v>
      </c>
      <c r="D9" s="113"/>
      <c r="E9" s="113"/>
      <c r="F9" s="113"/>
      <c r="G9" s="113"/>
      <c r="H9" s="118">
        <f>SUM(H5:H8)</f>
        <v>6056.7526881720423</v>
      </c>
      <c r="I9" s="119"/>
      <c r="J9" s="58"/>
    </row>
    <row r="10" spans="1:10" ht="17.45" customHeight="1">
      <c r="A10" s="58"/>
      <c r="B10" s="113"/>
      <c r="C10" s="113" t="s">
        <v>85</v>
      </c>
      <c r="D10" s="113"/>
      <c r="E10" s="113"/>
      <c r="F10" s="113"/>
      <c r="G10" s="113"/>
      <c r="H10" s="53">
        <v>7.4999999999999997E-3</v>
      </c>
      <c r="I10" s="120"/>
      <c r="J10" s="58"/>
    </row>
    <row r="11" spans="1:10" ht="17.45" customHeight="1" thickBot="1">
      <c r="A11" s="58"/>
      <c r="B11" s="121"/>
      <c r="C11" s="121" t="s">
        <v>86</v>
      </c>
      <c r="D11" s="121"/>
      <c r="E11" s="121"/>
      <c r="F11" s="121"/>
      <c r="G11" s="121"/>
      <c r="H11" s="122">
        <f>H9*H10</f>
        <v>45.425645161290319</v>
      </c>
      <c r="I11" s="123"/>
      <c r="J11" s="58"/>
    </row>
    <row r="12" spans="1:10">
      <c r="A12" s="58"/>
      <c r="B12" s="113"/>
      <c r="C12" s="113"/>
      <c r="D12" s="113"/>
      <c r="E12" s="113"/>
      <c r="F12" s="113"/>
      <c r="G12" s="113"/>
      <c r="H12" s="113"/>
      <c r="I12" s="113"/>
      <c r="J12" s="58"/>
    </row>
    <row r="13" spans="1:10">
      <c r="A13" s="58"/>
      <c r="B13" s="113"/>
      <c r="C13" s="113"/>
      <c r="D13" s="113"/>
      <c r="E13" s="113"/>
      <c r="F13" s="113"/>
      <c r="G13" s="113"/>
      <c r="H13" s="113"/>
      <c r="I13" s="113"/>
      <c r="J13" s="58"/>
    </row>
    <row r="14" spans="1:10" ht="15.75" thickBot="1">
      <c r="A14" s="58"/>
      <c r="B14" s="114" t="s">
        <v>87</v>
      </c>
      <c r="C14" s="113"/>
      <c r="D14" s="113"/>
      <c r="E14" s="113"/>
      <c r="F14" s="113"/>
      <c r="G14" s="113"/>
      <c r="H14" s="113"/>
      <c r="I14" s="113"/>
      <c r="J14" s="58"/>
    </row>
    <row r="15" spans="1:10" ht="17.45" customHeight="1">
      <c r="A15" s="58"/>
      <c r="B15" s="115"/>
      <c r="C15" s="115"/>
      <c r="D15" s="115"/>
      <c r="E15" s="115"/>
      <c r="F15" s="156" t="s">
        <v>220</v>
      </c>
      <c r="G15" s="156" t="s">
        <v>222</v>
      </c>
      <c r="H15" s="156" t="s">
        <v>24</v>
      </c>
      <c r="I15" s="115"/>
      <c r="J15" s="58"/>
    </row>
    <row r="16" spans="1:10" ht="17.45" customHeight="1">
      <c r="A16" s="58"/>
      <c r="B16" s="113"/>
      <c r="C16" s="113"/>
      <c r="D16" s="113"/>
      <c r="E16" s="113"/>
      <c r="F16" s="238" t="s">
        <v>221</v>
      </c>
      <c r="G16" s="238" t="s">
        <v>223</v>
      </c>
      <c r="H16" s="238" t="s">
        <v>224</v>
      </c>
      <c r="I16" s="113"/>
      <c r="J16" s="58"/>
    </row>
    <row r="17" spans="1:10" ht="17.45" customHeight="1">
      <c r="A17" s="58"/>
      <c r="B17" s="113"/>
      <c r="C17" s="113" t="s">
        <v>164</v>
      </c>
      <c r="D17" s="113"/>
      <c r="E17" s="113"/>
      <c r="F17" s="35">
        <v>560</v>
      </c>
      <c r="G17" s="239">
        <v>165</v>
      </c>
      <c r="H17" s="124">
        <f>F17*G17/100</f>
        <v>924</v>
      </c>
      <c r="I17" s="119"/>
      <c r="J17" s="58"/>
    </row>
    <row r="18" spans="1:10" ht="17.45" customHeight="1">
      <c r="A18" s="58"/>
      <c r="B18" s="113"/>
      <c r="C18" s="113" t="s">
        <v>165</v>
      </c>
      <c r="D18" s="113"/>
      <c r="E18" s="113"/>
      <c r="F18" s="35">
        <v>540</v>
      </c>
      <c r="G18" s="239">
        <v>155</v>
      </c>
      <c r="H18" s="124">
        <f>F18*G18/100</f>
        <v>837</v>
      </c>
      <c r="I18" s="119"/>
      <c r="J18" s="58"/>
    </row>
    <row r="19" spans="1:10" ht="17.45" customHeight="1">
      <c r="A19" s="58"/>
      <c r="B19" s="113"/>
      <c r="C19" s="113" t="s">
        <v>166</v>
      </c>
      <c r="D19" s="113"/>
      <c r="E19" s="113"/>
      <c r="F19" s="35">
        <v>1240</v>
      </c>
      <c r="G19" s="239">
        <v>80</v>
      </c>
      <c r="H19" s="124">
        <f>F19*G19/100*F22</f>
        <v>0</v>
      </c>
      <c r="I19" s="119"/>
      <c r="J19" s="58"/>
    </row>
    <row r="20" spans="1:10" ht="17.45" customHeight="1">
      <c r="A20" s="58"/>
      <c r="B20" s="113"/>
      <c r="C20" s="113"/>
      <c r="D20" s="113"/>
      <c r="E20" s="113"/>
      <c r="F20" s="125"/>
      <c r="G20" s="126"/>
      <c r="H20" s="124"/>
      <c r="I20" s="119"/>
      <c r="J20" s="58"/>
    </row>
    <row r="21" spans="1:10" ht="17.45" customHeight="1">
      <c r="A21" s="58"/>
      <c r="B21" s="113"/>
      <c r="C21" s="113" t="s">
        <v>88</v>
      </c>
      <c r="D21" s="113"/>
      <c r="E21" s="113"/>
      <c r="F21" s="49">
        <v>0.88</v>
      </c>
      <c r="G21" s="126"/>
      <c r="H21" s="124"/>
      <c r="I21" s="119"/>
      <c r="J21" s="58"/>
    </row>
    <row r="22" spans="1:10" ht="17.45" customHeight="1">
      <c r="A22" s="58"/>
      <c r="B22" s="113"/>
      <c r="C22" s="113" t="s">
        <v>89</v>
      </c>
      <c r="D22" s="113"/>
      <c r="E22" s="113"/>
      <c r="F22" s="49">
        <v>0</v>
      </c>
      <c r="G22" s="126"/>
      <c r="H22" s="124"/>
      <c r="I22" s="119"/>
      <c r="J22" s="58"/>
    </row>
    <row r="23" spans="1:10" ht="17.45" customHeight="1">
      <c r="A23" s="58"/>
      <c r="B23" s="113"/>
      <c r="C23" s="113"/>
      <c r="D23" s="113"/>
      <c r="E23" s="113"/>
      <c r="F23" s="126"/>
      <c r="G23" s="126"/>
      <c r="H23" s="124"/>
      <c r="I23" s="119"/>
      <c r="J23" s="58"/>
    </row>
    <row r="24" spans="1:10" ht="17.45" customHeight="1">
      <c r="A24" s="58"/>
      <c r="B24" s="113"/>
      <c r="C24" s="113" t="s">
        <v>90</v>
      </c>
      <c r="D24" s="113"/>
      <c r="E24" s="113"/>
      <c r="F24" s="126"/>
      <c r="G24" s="126"/>
      <c r="H24" s="124">
        <f>IF(AND(General!K4=2,F22&gt;0),(H17*F21/2+H18*(F21/2-F22)+H19*F22),(H17+H18)/2*F21)</f>
        <v>774.84</v>
      </c>
      <c r="I24" s="119"/>
      <c r="J24" s="58"/>
    </row>
    <row r="25" spans="1:10" ht="17.45" customHeight="1">
      <c r="A25" s="58"/>
      <c r="B25" s="113"/>
      <c r="C25" s="113" t="s">
        <v>91</v>
      </c>
      <c r="D25" s="113"/>
      <c r="E25" s="113"/>
      <c r="F25" s="126"/>
      <c r="G25" s="126"/>
      <c r="H25" s="53">
        <v>7.0000000000000007E-2</v>
      </c>
      <c r="I25" s="120"/>
      <c r="J25" s="58"/>
    </row>
    <row r="26" spans="1:10" ht="17.45" customHeight="1" thickBot="1">
      <c r="A26" s="58"/>
      <c r="B26" s="121"/>
      <c r="C26" s="121" t="s">
        <v>86</v>
      </c>
      <c r="D26" s="121"/>
      <c r="E26" s="121"/>
      <c r="F26" s="127"/>
      <c r="G26" s="127"/>
      <c r="H26" s="122">
        <f>H24*H25</f>
        <v>54.238800000000005</v>
      </c>
      <c r="I26" s="123"/>
      <c r="J26" s="58"/>
    </row>
    <row r="27" spans="1:10">
      <c r="A27" s="58"/>
      <c r="B27" s="113" t="s">
        <v>92</v>
      </c>
      <c r="C27" s="113"/>
      <c r="D27" s="113"/>
      <c r="E27" s="113"/>
      <c r="F27" s="113"/>
      <c r="G27" s="113"/>
      <c r="H27" s="113"/>
      <c r="I27" s="113"/>
      <c r="J27" s="58"/>
    </row>
    <row r="28" spans="1:10">
      <c r="A28" s="58"/>
      <c r="B28" s="58" t="s">
        <v>93</v>
      </c>
      <c r="C28" s="58"/>
      <c r="D28" s="58"/>
      <c r="E28" s="58"/>
      <c r="F28" s="58"/>
      <c r="G28" s="58"/>
      <c r="H28" s="58"/>
      <c r="I28" s="113"/>
      <c r="J28" s="58"/>
    </row>
    <row r="29" spans="1:10">
      <c r="A29" s="58"/>
      <c r="B29" s="58"/>
      <c r="C29" s="58"/>
      <c r="D29" s="58"/>
      <c r="E29" s="58"/>
      <c r="F29" s="58"/>
      <c r="G29" s="58"/>
      <c r="H29" s="58"/>
      <c r="I29" s="113"/>
      <c r="J29" s="58"/>
    </row>
  </sheetData>
  <sheetProtection password="C4C7" sheet="1"/>
  <phoneticPr fontId="2" type="noConversion"/>
  <pageMargins left="0.75" right="0.75" top="0.75" bottom="0.75" header="0" footer="0"/>
  <pageSetup scale="96" orientation="portrait" r:id="rId1"/>
  <headerFooter alignWithMargins="0">
    <oddFooter>&amp;C&amp;"Calibri,Regular"&amp;11&amp;F
Developed by Kevin C. Dhuyvetter and Damona Doye
Kansas State University and Oklahoma State University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83"/>
  <sheetViews>
    <sheetView showOutlineSymbols="0" zoomScaleNormal="100" workbookViewId="0"/>
  </sheetViews>
  <sheetFormatPr defaultColWidth="7.6640625" defaultRowHeight="15"/>
  <cols>
    <col min="1" max="1" width="6.77734375" style="58" customWidth="1"/>
    <col min="2" max="2" width="3.6640625" style="58" customWidth="1"/>
    <col min="3" max="5" width="9.6640625" style="58" customWidth="1"/>
    <col min="6" max="6" width="9.6640625" style="60" customWidth="1"/>
    <col min="7" max="7" width="9.6640625" style="61" customWidth="1"/>
    <col min="8" max="9" width="9.6640625" style="62" customWidth="1"/>
    <col min="10" max="10" width="7.6640625" style="58"/>
    <col min="11" max="16384" width="7.6640625" style="108"/>
  </cols>
  <sheetData>
    <row r="2" spans="2:9" ht="16.5" thickBot="1">
      <c r="B2" s="59" t="s">
        <v>94</v>
      </c>
    </row>
    <row r="3" spans="2:9">
      <c r="B3" s="63"/>
      <c r="C3" s="63"/>
      <c r="D3" s="63"/>
      <c r="E3" s="63"/>
      <c r="F3" s="64"/>
      <c r="G3" s="65"/>
      <c r="H3" s="66"/>
      <c r="I3" s="66"/>
    </row>
    <row r="4" spans="2:9">
      <c r="B4" s="58" t="str">
        <f>IF(General!K4=1," *** Replacement females purchased/raised outside of the lease ***"," *** Replacement females are raised within the lease ***")</f>
        <v xml:space="preserve"> *** Replacement females purchased/raised outside of the lease ***</v>
      </c>
    </row>
    <row r="5" spans="2:9">
      <c r="B5" s="67"/>
      <c r="C5" s="67"/>
      <c r="D5" s="67"/>
      <c r="E5" s="67"/>
      <c r="F5" s="68"/>
      <c r="G5" s="69"/>
      <c r="H5" s="70"/>
      <c r="I5" s="70"/>
    </row>
    <row r="6" spans="2:9">
      <c r="B6" s="71"/>
      <c r="C6" s="71"/>
      <c r="D6" s="71"/>
      <c r="E6" s="71"/>
      <c r="F6" s="72" t="s">
        <v>95</v>
      </c>
      <c r="G6" s="73"/>
      <c r="H6" s="74"/>
      <c r="I6" s="74"/>
    </row>
    <row r="7" spans="2:9">
      <c r="B7" s="243" t="s">
        <v>48</v>
      </c>
      <c r="C7" s="243"/>
      <c r="D7" s="243"/>
      <c r="E7" s="243"/>
      <c r="F7" s="244" t="s">
        <v>97</v>
      </c>
      <c r="G7" s="245" t="s">
        <v>20</v>
      </c>
      <c r="H7" s="246" t="s">
        <v>95</v>
      </c>
      <c r="I7" s="246" t="s">
        <v>96</v>
      </c>
    </row>
    <row r="8" spans="2:9">
      <c r="B8" s="58" t="s">
        <v>98</v>
      </c>
    </row>
    <row r="9" spans="2:9">
      <c r="C9" s="58" t="s">
        <v>99</v>
      </c>
      <c r="F9" s="54">
        <v>0</v>
      </c>
      <c r="G9" s="61">
        <f>SUM('Sch A'!I12:K12)+IF(General!K4=1,'Sch A'!H12,0)</f>
        <v>330.5645833333333</v>
      </c>
      <c r="H9" s="62">
        <f>IF(F9=-1,G9*H$140,G9*F9)</f>
        <v>0</v>
      </c>
      <c r="I9" s="62">
        <f>IF(F9=-1,G9*I$140,(1-F9)*G9)</f>
        <v>330.5645833333333</v>
      </c>
    </row>
    <row r="10" spans="2:9">
      <c r="C10" s="58" t="s">
        <v>100</v>
      </c>
      <c r="F10" s="54">
        <v>0</v>
      </c>
      <c r="G10" s="61">
        <f>SUM('Sch A'!H20:K20)</f>
        <v>17.779375000000002</v>
      </c>
      <c r="H10" s="62">
        <f>IF(F10=-1,G10*H$140,G10*F10)</f>
        <v>0</v>
      </c>
      <c r="I10" s="62">
        <f>IF(F10=-1,G10*I$140,(1-F10)*G10)</f>
        <v>17.779375000000002</v>
      </c>
    </row>
    <row r="11" spans="2:9">
      <c r="B11" s="58" t="s">
        <v>101</v>
      </c>
      <c r="F11" s="82"/>
    </row>
    <row r="12" spans="2:9">
      <c r="C12" s="58" t="s">
        <v>49</v>
      </c>
      <c r="F12" s="54">
        <v>1</v>
      </c>
      <c r="G12" s="61">
        <f>'Sch B &amp; C'!H18</f>
        <v>25</v>
      </c>
      <c r="H12" s="62">
        <f>IF(F12=-1,G12*H$140,G12*F12)</f>
        <v>25</v>
      </c>
      <c r="I12" s="62">
        <f>IF(F12=-1,G12*I$140,(1-F12)*G12)</f>
        <v>0</v>
      </c>
    </row>
    <row r="13" spans="2:9">
      <c r="C13" s="58" t="s">
        <v>103</v>
      </c>
      <c r="F13" s="83">
        <f>F12</f>
        <v>1</v>
      </c>
      <c r="G13" s="61">
        <f>'Sch B &amp; C'!I18+'Sch B &amp; C'!J18</f>
        <v>13.5</v>
      </c>
      <c r="H13" s="62">
        <f>IF(F13=-1,G13*H$140,G13*F13)</f>
        <v>13.5</v>
      </c>
      <c r="I13" s="62">
        <f>IF(F13=-1,G13*I$140,(1-F13)*G13)</f>
        <v>0</v>
      </c>
    </row>
    <row r="14" spans="2:9">
      <c r="C14" s="58" t="s">
        <v>104</v>
      </c>
      <c r="F14" s="54">
        <v>1</v>
      </c>
      <c r="G14" s="61">
        <f>General!K45</f>
        <v>20</v>
      </c>
      <c r="H14" s="62">
        <f>IF(F14=-1,G14*H$140,G14*F14)</f>
        <v>20</v>
      </c>
      <c r="I14" s="62">
        <f>IF(F14=-1,G14*I$140,(1-F14)*G14)</f>
        <v>0</v>
      </c>
    </row>
    <row r="15" spans="2:9">
      <c r="B15" s="58" t="s">
        <v>105</v>
      </c>
      <c r="F15" s="82"/>
    </row>
    <row r="16" spans="2:9">
      <c r="C16" s="58" t="s">
        <v>49</v>
      </c>
      <c r="F16" s="54">
        <v>1</v>
      </c>
      <c r="G16" s="61">
        <f>'Sch B &amp; C'!H34</f>
        <v>8.5</v>
      </c>
      <c r="H16" s="62">
        <f>IF(F16=-1,G16*H$140,G16*F16)</f>
        <v>8.5</v>
      </c>
      <c r="I16" s="62">
        <f>IF(F16=-1,G16*I$140,(1-F16)*G16)</f>
        <v>0</v>
      </c>
    </row>
    <row r="17" spans="2:9">
      <c r="C17" s="58" t="s">
        <v>103</v>
      </c>
      <c r="F17" s="83">
        <f>F16</f>
        <v>1</v>
      </c>
      <c r="G17" s="61">
        <f>'Sch B &amp; C'!I34+'Sch B &amp; C'!J34</f>
        <v>6.8000000000000007</v>
      </c>
      <c r="H17" s="62">
        <f>IF(F17=-1,G17*H$140,G17*F17)</f>
        <v>6.8000000000000007</v>
      </c>
      <c r="I17" s="62">
        <f>IF(F17=-1,G17*I$140,(1-F17)*G17)</f>
        <v>0</v>
      </c>
    </row>
    <row r="18" spans="2:9">
      <c r="C18" s="58" t="s">
        <v>104</v>
      </c>
      <c r="F18" s="54">
        <v>1</v>
      </c>
      <c r="G18" s="61">
        <f>General!K46</f>
        <v>15</v>
      </c>
      <c r="H18" s="62">
        <f>IF(F18=-1,G18*H$140,G18*F18)</f>
        <v>15</v>
      </c>
      <c r="I18" s="62">
        <f>IF(F18=-1,G18*I$140,(1-F18)*G18)</f>
        <v>0</v>
      </c>
    </row>
    <row r="19" spans="2:9">
      <c r="B19" s="71" t="s">
        <v>107</v>
      </c>
      <c r="C19" s="71"/>
      <c r="D19" s="71"/>
      <c r="E19" s="71"/>
      <c r="F19" s="84"/>
      <c r="G19" s="73"/>
      <c r="H19" s="74"/>
      <c r="I19" s="74"/>
    </row>
    <row r="21" spans="2:9">
      <c r="B21" s="67"/>
      <c r="C21" s="67"/>
      <c r="D21" s="67"/>
      <c r="E21" s="67"/>
      <c r="F21" s="68"/>
      <c r="G21" s="69"/>
      <c r="H21" s="70"/>
      <c r="I21" s="70"/>
    </row>
    <row r="22" spans="2:9">
      <c r="B22" s="71" t="s">
        <v>48</v>
      </c>
      <c r="C22" s="71"/>
      <c r="D22" s="71"/>
      <c r="E22" s="71"/>
      <c r="F22" s="72" t="s">
        <v>95</v>
      </c>
      <c r="G22" s="85" t="s">
        <v>20</v>
      </c>
      <c r="H22" s="86" t="s">
        <v>95</v>
      </c>
      <c r="I22" s="86" t="s">
        <v>96</v>
      </c>
    </row>
    <row r="23" spans="2:9">
      <c r="B23" s="67"/>
      <c r="C23" s="67"/>
      <c r="D23" s="67"/>
      <c r="E23" s="67"/>
      <c r="F23" s="75" t="s">
        <v>108</v>
      </c>
      <c r="G23" s="69"/>
      <c r="H23" s="70"/>
      <c r="I23" s="70"/>
    </row>
    <row r="24" spans="2:9">
      <c r="B24" s="71" t="s">
        <v>109</v>
      </c>
      <c r="C24" s="71"/>
      <c r="D24" s="71"/>
      <c r="E24" s="71"/>
      <c r="F24" s="55">
        <v>1</v>
      </c>
      <c r="G24" s="73">
        <f>General!K29</f>
        <v>168.64399999999998</v>
      </c>
      <c r="H24" s="74">
        <f t="shared" ref="H24:H36" si="0">IF(F24=-1,G24*H$140,G24*F24)</f>
        <v>168.64399999999998</v>
      </c>
      <c r="I24" s="74">
        <f t="shared" ref="I24:I36" si="1">IF(F24=-1,G24*I$140,(1-F24)*G24)</f>
        <v>0</v>
      </c>
    </row>
    <row r="25" spans="2:9">
      <c r="B25" s="58" t="s">
        <v>110</v>
      </c>
      <c r="F25" s="54">
        <v>1</v>
      </c>
      <c r="G25" s="61">
        <f>General!K32</f>
        <v>219.6</v>
      </c>
      <c r="H25" s="62">
        <f t="shared" si="0"/>
        <v>219.6</v>
      </c>
      <c r="I25" s="62">
        <f t="shared" si="1"/>
        <v>0</v>
      </c>
    </row>
    <row r="26" spans="2:9">
      <c r="B26" s="58" t="s">
        <v>111</v>
      </c>
      <c r="F26" s="54">
        <f>F25</f>
        <v>1</v>
      </c>
      <c r="G26" s="61">
        <f>General!K33</f>
        <v>0</v>
      </c>
      <c r="H26" s="62">
        <f t="shared" si="0"/>
        <v>0</v>
      </c>
      <c r="I26" s="62">
        <f t="shared" si="1"/>
        <v>0</v>
      </c>
    </row>
    <row r="27" spans="2:9">
      <c r="B27" s="58" t="s">
        <v>112</v>
      </c>
      <c r="F27" s="54">
        <f>F26</f>
        <v>1</v>
      </c>
      <c r="G27" s="61">
        <f>General!K34</f>
        <v>27.762</v>
      </c>
      <c r="H27" s="62">
        <f t="shared" si="0"/>
        <v>27.762</v>
      </c>
      <c r="I27" s="62">
        <f t="shared" si="1"/>
        <v>0</v>
      </c>
    </row>
    <row r="28" spans="2:9">
      <c r="B28" s="58" t="s">
        <v>113</v>
      </c>
      <c r="F28" s="54">
        <f>F27</f>
        <v>1</v>
      </c>
      <c r="G28" s="61">
        <f>General!K35</f>
        <v>0</v>
      </c>
      <c r="H28" s="62">
        <f t="shared" si="0"/>
        <v>0</v>
      </c>
      <c r="I28" s="62">
        <f t="shared" si="1"/>
        <v>0</v>
      </c>
    </row>
    <row r="29" spans="2:9">
      <c r="B29" s="58" t="s">
        <v>114</v>
      </c>
      <c r="F29" s="54">
        <f>F28</f>
        <v>1</v>
      </c>
      <c r="G29" s="61">
        <f>General!K36</f>
        <v>15.96</v>
      </c>
      <c r="H29" s="62">
        <f t="shared" si="0"/>
        <v>15.96</v>
      </c>
      <c r="I29" s="62">
        <f t="shared" si="1"/>
        <v>0</v>
      </c>
    </row>
    <row r="30" spans="2:9">
      <c r="B30" s="58" t="s">
        <v>115</v>
      </c>
      <c r="F30" s="54">
        <f>F29</f>
        <v>1</v>
      </c>
      <c r="G30" s="61">
        <f>General!K37</f>
        <v>18</v>
      </c>
      <c r="H30" s="62">
        <f t="shared" si="0"/>
        <v>18</v>
      </c>
      <c r="I30" s="62">
        <f t="shared" si="1"/>
        <v>0</v>
      </c>
    </row>
    <row r="31" spans="2:9">
      <c r="B31" s="58" t="s">
        <v>116</v>
      </c>
      <c r="F31" s="54">
        <v>-1</v>
      </c>
      <c r="G31" s="61">
        <f>General!K42</f>
        <v>20</v>
      </c>
      <c r="H31" s="62">
        <f t="shared" si="0"/>
        <v>13.212257257078829</v>
      </c>
      <c r="I31" s="62">
        <f t="shared" si="1"/>
        <v>6.7877427429211696</v>
      </c>
    </row>
    <row r="32" spans="2:9">
      <c r="B32" s="58" t="s">
        <v>117</v>
      </c>
      <c r="F32" s="54">
        <v>1</v>
      </c>
      <c r="G32" s="61">
        <f>General!K43</f>
        <v>28</v>
      </c>
      <c r="H32" s="62">
        <f t="shared" si="0"/>
        <v>28</v>
      </c>
      <c r="I32" s="62">
        <f t="shared" si="1"/>
        <v>0</v>
      </c>
    </row>
    <row r="33" spans="2:9">
      <c r="B33" s="58" t="s">
        <v>152</v>
      </c>
      <c r="F33" s="54">
        <v>1</v>
      </c>
      <c r="G33" s="61">
        <f>General!K44</f>
        <v>12</v>
      </c>
      <c r="H33" s="62">
        <f t="shared" si="0"/>
        <v>12</v>
      </c>
      <c r="I33" s="62">
        <f t="shared" si="1"/>
        <v>0</v>
      </c>
    </row>
    <row r="34" spans="2:9">
      <c r="B34" s="58" t="s">
        <v>118</v>
      </c>
      <c r="F34" s="54">
        <v>1</v>
      </c>
      <c r="G34" s="61">
        <f>General!K47</f>
        <v>76.7</v>
      </c>
      <c r="H34" s="62">
        <f t="shared" si="0"/>
        <v>76.7</v>
      </c>
      <c r="I34" s="62">
        <f t="shared" si="1"/>
        <v>0</v>
      </c>
    </row>
    <row r="35" spans="2:9">
      <c r="B35" s="58" t="s">
        <v>119</v>
      </c>
      <c r="D35" s="58" t="str">
        <f>General!E48</f>
        <v>Bull soundness exam</v>
      </c>
      <c r="F35" s="54">
        <v>0</v>
      </c>
      <c r="G35" s="61">
        <f>General!K48</f>
        <v>1.2</v>
      </c>
      <c r="H35" s="62">
        <f t="shared" si="0"/>
        <v>0</v>
      </c>
      <c r="I35" s="62">
        <f t="shared" si="1"/>
        <v>1.2</v>
      </c>
    </row>
    <row r="36" spans="2:9">
      <c r="B36" s="58" t="s">
        <v>119</v>
      </c>
      <c r="D36" s="58" t="str">
        <f>General!E49</f>
        <v>Misc and professional fees</v>
      </c>
      <c r="F36" s="54">
        <v>0.75</v>
      </c>
      <c r="G36" s="61">
        <f>General!K49</f>
        <v>20</v>
      </c>
      <c r="H36" s="62">
        <f t="shared" si="0"/>
        <v>15</v>
      </c>
      <c r="I36" s="62">
        <f t="shared" si="1"/>
        <v>5</v>
      </c>
    </row>
    <row r="37" spans="2:9">
      <c r="B37" s="58" t="s">
        <v>120</v>
      </c>
      <c r="F37" s="87" t="s">
        <v>121</v>
      </c>
      <c r="G37" s="61">
        <f>(SUM(G24:G36)+G14+G18)/2*General!K50</f>
        <v>20.893145000000001</v>
      </c>
      <c r="H37" s="62">
        <f>(SUM(H24:H36)+H14+H18)/2*General!K50</f>
        <v>20.471043360855059</v>
      </c>
      <c r="I37" s="62">
        <f>(SUM(I24:I36)+I14+I18)/2*General!K50</f>
        <v>0.42210163914493803</v>
      </c>
    </row>
    <row r="38" spans="2:9">
      <c r="B38" s="58" t="s">
        <v>122</v>
      </c>
      <c r="D38" s="56">
        <v>4</v>
      </c>
      <c r="F38" s="54">
        <v>0.5</v>
      </c>
      <c r="G38" s="61">
        <f>IF(D38=1,'Sch E'!H11,IF(D38=2,'Sch E'!H26,IF(D38=3,('Sch E'!H11+'Sch E'!H26)/2,IF(D38=4,0,"Method ?"))))</f>
        <v>0</v>
      </c>
      <c r="H38" s="62">
        <f>IF(F38=-1,G38*H$140,G38*F38)</f>
        <v>0</v>
      </c>
      <c r="I38" s="62">
        <f>IF(F38=-1,G38*I$140,(1-F38)*G38)</f>
        <v>0</v>
      </c>
    </row>
    <row r="39" spans="2:9">
      <c r="B39" s="71" t="s">
        <v>107</v>
      </c>
      <c r="C39" s="71"/>
      <c r="D39" s="71"/>
      <c r="E39" s="71"/>
      <c r="F39" s="84"/>
      <c r="G39" s="73"/>
      <c r="H39" s="74"/>
      <c r="I39" s="74"/>
    </row>
    <row r="40" spans="2:9">
      <c r="B40" s="58" t="s">
        <v>151</v>
      </c>
    </row>
    <row r="42" spans="2:9" ht="15.75" thickBot="1"/>
    <row r="43" spans="2:9" ht="9.9499999999999993" customHeight="1">
      <c r="B43" s="63"/>
      <c r="C43" s="63"/>
      <c r="D43" s="63"/>
      <c r="E43" s="63"/>
      <c r="F43" s="64"/>
      <c r="G43" s="65"/>
      <c r="H43" s="66"/>
      <c r="I43" s="66"/>
    </row>
    <row r="44" spans="2:9">
      <c r="B44" s="58" t="s">
        <v>48</v>
      </c>
      <c r="G44" s="76" t="s">
        <v>20</v>
      </c>
      <c r="H44" s="77" t="s">
        <v>95</v>
      </c>
      <c r="I44" s="77" t="s">
        <v>96</v>
      </c>
    </row>
    <row r="45" spans="2:9" ht="18" customHeight="1">
      <c r="B45" s="240" t="s">
        <v>124</v>
      </c>
      <c r="C45" s="240"/>
      <c r="D45" s="240"/>
      <c r="E45" s="240"/>
      <c r="F45" s="241"/>
      <c r="G45" s="242">
        <f>G139</f>
        <v>1045.2531033333335</v>
      </c>
      <c r="H45" s="242">
        <f>H139</f>
        <v>690.50764500000002</v>
      </c>
      <c r="I45" s="242">
        <f>I139</f>
        <v>354.74545833333332</v>
      </c>
    </row>
    <row r="46" spans="2:9" ht="18" customHeight="1">
      <c r="B46" s="58" t="s">
        <v>125</v>
      </c>
      <c r="G46" s="61">
        <f>SUM(G9:G38)-G45</f>
        <v>20.650000000000091</v>
      </c>
      <c r="H46" s="61">
        <f>SUM(H9:H38)-H45</f>
        <v>13.641655617933907</v>
      </c>
      <c r="I46" s="61">
        <f>SUM(I9:I38)-I45</f>
        <v>7.0083443820661273</v>
      </c>
    </row>
    <row r="47" spans="2:9" ht="18" customHeight="1">
      <c r="B47" s="58" t="s">
        <v>126</v>
      </c>
      <c r="G47" s="61">
        <f>G45+G46</f>
        <v>1065.9031033333335</v>
      </c>
      <c r="H47" s="61">
        <f>H45+H46</f>
        <v>704.14930061793393</v>
      </c>
      <c r="I47" s="61">
        <f>I45+I46</f>
        <v>361.75380271539944</v>
      </c>
    </row>
    <row r="48" spans="2:9" ht="9.9499999999999993" customHeight="1">
      <c r="B48" s="78"/>
      <c r="C48" s="78"/>
      <c r="D48" s="78"/>
      <c r="E48" s="78"/>
      <c r="F48" s="79"/>
      <c r="G48" s="80"/>
      <c r="H48" s="81"/>
      <c r="I48" s="81"/>
    </row>
    <row r="49" spans="1:10">
      <c r="B49" s="88" t="s">
        <v>127</v>
      </c>
      <c r="C49" s="88"/>
      <c r="D49" s="88"/>
      <c r="E49" s="88"/>
      <c r="F49" s="89"/>
      <c r="G49" s="90">
        <f>G45/$G45</f>
        <v>1</v>
      </c>
      <c r="H49" s="90">
        <f>H45/$G45</f>
        <v>0.66061286285394138</v>
      </c>
      <c r="I49" s="90">
        <f>I45/$G45</f>
        <v>0.3393871371460585</v>
      </c>
    </row>
    <row r="50" spans="1:10" ht="9.9499999999999993" customHeight="1" thickBot="1">
      <c r="B50" s="67"/>
      <c r="C50" s="67"/>
      <c r="D50" s="67"/>
      <c r="E50" s="67"/>
      <c r="F50" s="68"/>
      <c r="G50" s="69"/>
      <c r="H50" s="70"/>
      <c r="I50" s="70"/>
    </row>
    <row r="51" spans="1:10">
      <c r="B51" s="91" t="s">
        <v>128</v>
      </c>
      <c r="C51" s="91"/>
      <c r="D51" s="91"/>
      <c r="E51" s="91"/>
      <c r="F51" s="92"/>
      <c r="G51" s="93"/>
      <c r="H51" s="94"/>
      <c r="I51" s="94"/>
    </row>
    <row r="53" spans="1:10">
      <c r="A53" s="108"/>
      <c r="B53" s="108"/>
      <c r="C53" s="108"/>
      <c r="D53" s="108"/>
      <c r="E53" s="108"/>
      <c r="F53" s="109"/>
      <c r="G53" s="110"/>
      <c r="H53" s="111"/>
      <c r="I53" s="111"/>
      <c r="J53" s="108"/>
    </row>
    <row r="54" spans="1:10">
      <c r="A54" s="108"/>
      <c r="B54" s="108"/>
      <c r="C54" s="108"/>
      <c r="D54" s="108"/>
      <c r="E54" s="108"/>
      <c r="F54" s="109"/>
      <c r="G54" s="110"/>
      <c r="H54" s="111"/>
      <c r="I54" s="111"/>
      <c r="J54" s="108"/>
    </row>
    <row r="55" spans="1:10">
      <c r="A55" s="108"/>
      <c r="B55" s="108"/>
      <c r="C55" s="108"/>
      <c r="D55" s="108"/>
      <c r="E55" s="108"/>
      <c r="F55" s="109"/>
      <c r="G55" s="110"/>
      <c r="H55" s="111"/>
      <c r="I55" s="111"/>
      <c r="J55" s="108"/>
    </row>
    <row r="56" spans="1:10">
      <c r="A56" s="108"/>
      <c r="B56" s="108"/>
      <c r="C56" s="108"/>
      <c r="D56" s="108"/>
      <c r="E56" s="108"/>
      <c r="F56" s="109"/>
      <c r="G56" s="110"/>
      <c r="H56" s="111"/>
      <c r="I56" s="111"/>
      <c r="J56" s="108"/>
    </row>
    <row r="57" spans="1:10">
      <c r="A57" s="108"/>
      <c r="B57" s="108"/>
      <c r="C57" s="108"/>
      <c r="D57" s="108"/>
      <c r="E57" s="108"/>
      <c r="F57" s="109"/>
      <c r="G57" s="110"/>
      <c r="H57" s="111"/>
      <c r="I57" s="111"/>
      <c r="J57" s="108"/>
    </row>
    <row r="58" spans="1:10">
      <c r="A58" s="108"/>
      <c r="B58" s="108"/>
      <c r="C58" s="108"/>
      <c r="D58" s="108"/>
      <c r="E58" s="108"/>
      <c r="F58" s="109"/>
      <c r="G58" s="110"/>
      <c r="H58" s="111"/>
      <c r="I58" s="111"/>
      <c r="J58" s="108"/>
    </row>
    <row r="59" spans="1:10">
      <c r="A59" s="108"/>
      <c r="B59" s="108"/>
      <c r="C59" s="108"/>
      <c r="D59" s="108"/>
      <c r="E59" s="108"/>
      <c r="F59" s="109"/>
      <c r="G59" s="110"/>
      <c r="H59" s="111"/>
      <c r="I59" s="111"/>
      <c r="J59" s="108"/>
    </row>
    <row r="60" spans="1:10">
      <c r="A60" s="108"/>
      <c r="B60" s="108"/>
      <c r="C60" s="108"/>
      <c r="D60" s="108"/>
      <c r="E60" s="108"/>
      <c r="F60" s="109"/>
      <c r="G60" s="110"/>
      <c r="H60" s="111"/>
      <c r="I60" s="111"/>
      <c r="J60" s="108"/>
    </row>
    <row r="61" spans="1:10">
      <c r="A61" s="108"/>
      <c r="B61" s="108"/>
      <c r="C61" s="108"/>
      <c r="D61" s="108"/>
      <c r="E61" s="108"/>
      <c r="F61" s="109"/>
      <c r="G61" s="110"/>
      <c r="H61" s="111"/>
      <c r="I61" s="111"/>
      <c r="J61" s="108"/>
    </row>
    <row r="62" spans="1:10">
      <c r="A62" s="108"/>
      <c r="B62" s="108"/>
      <c r="C62" s="108"/>
      <c r="D62" s="108"/>
      <c r="E62" s="108"/>
      <c r="F62" s="109"/>
      <c r="G62" s="110"/>
      <c r="H62" s="111"/>
      <c r="I62" s="111"/>
      <c r="J62" s="108"/>
    </row>
    <row r="63" spans="1:10">
      <c r="A63" s="108"/>
      <c r="B63" s="108"/>
      <c r="C63" s="108"/>
      <c r="D63" s="108"/>
      <c r="E63" s="108"/>
      <c r="F63" s="109"/>
      <c r="G63" s="110"/>
      <c r="H63" s="111"/>
      <c r="I63" s="111"/>
      <c r="J63" s="108"/>
    </row>
    <row r="64" spans="1:10">
      <c r="A64" s="108"/>
      <c r="B64" s="108"/>
      <c r="C64" s="108"/>
      <c r="D64" s="108"/>
      <c r="E64" s="108"/>
      <c r="F64" s="109"/>
      <c r="G64" s="110"/>
      <c r="H64" s="111"/>
      <c r="I64" s="111"/>
      <c r="J64" s="108"/>
    </row>
    <row r="65" spans="1:10">
      <c r="A65" s="108"/>
      <c r="B65" s="108"/>
      <c r="C65" s="108"/>
      <c r="D65" s="108"/>
      <c r="E65" s="108"/>
      <c r="F65" s="109"/>
      <c r="G65" s="110"/>
      <c r="H65" s="111"/>
      <c r="I65" s="111"/>
      <c r="J65" s="108"/>
    </row>
    <row r="66" spans="1:10">
      <c r="A66" s="108"/>
      <c r="B66" s="108"/>
      <c r="C66" s="108"/>
      <c r="D66" s="108"/>
      <c r="E66" s="108"/>
      <c r="F66" s="109"/>
      <c r="G66" s="110"/>
      <c r="H66" s="111"/>
      <c r="I66" s="111"/>
      <c r="J66" s="108"/>
    </row>
    <row r="67" spans="1:10">
      <c r="A67" s="108"/>
      <c r="B67" s="108"/>
      <c r="C67" s="108"/>
      <c r="D67" s="108"/>
      <c r="E67" s="108"/>
      <c r="F67" s="109"/>
      <c r="G67" s="110"/>
      <c r="H67" s="111"/>
      <c r="I67" s="111"/>
      <c r="J67" s="108"/>
    </row>
    <row r="68" spans="1:10">
      <c r="A68" s="108"/>
      <c r="B68" s="108"/>
      <c r="C68" s="108"/>
      <c r="D68" s="108"/>
      <c r="E68" s="108"/>
      <c r="F68" s="109"/>
      <c r="G68" s="110"/>
      <c r="H68" s="111"/>
      <c r="I68" s="111"/>
      <c r="J68" s="108"/>
    </row>
    <row r="69" spans="1:10">
      <c r="A69" s="108"/>
      <c r="B69" s="108"/>
      <c r="C69" s="108"/>
      <c r="D69" s="108"/>
      <c r="E69" s="108"/>
      <c r="F69" s="109"/>
      <c r="G69" s="110"/>
      <c r="H69" s="111"/>
      <c r="I69" s="111"/>
      <c r="J69" s="108"/>
    </row>
    <row r="70" spans="1:10">
      <c r="A70" s="108"/>
      <c r="B70" s="108"/>
      <c r="C70" s="108"/>
      <c r="D70" s="108"/>
      <c r="E70" s="108"/>
      <c r="F70" s="109"/>
      <c r="G70" s="110"/>
      <c r="H70" s="111"/>
      <c r="I70" s="111"/>
      <c r="J70" s="108"/>
    </row>
    <row r="71" spans="1:10">
      <c r="A71" s="108"/>
      <c r="B71" s="108"/>
      <c r="C71" s="108"/>
      <c r="D71" s="108"/>
      <c r="E71" s="108"/>
      <c r="F71" s="109"/>
      <c r="G71" s="110"/>
      <c r="H71" s="111"/>
      <c r="I71" s="111"/>
      <c r="J71" s="108"/>
    </row>
    <row r="72" spans="1:10">
      <c r="A72" s="108"/>
      <c r="B72" s="108"/>
      <c r="C72" s="108"/>
      <c r="D72" s="108"/>
      <c r="E72" s="108"/>
      <c r="F72" s="109"/>
      <c r="G72" s="110"/>
      <c r="H72" s="111"/>
      <c r="I72" s="111"/>
      <c r="J72" s="108"/>
    </row>
    <row r="73" spans="1:10">
      <c r="A73" s="108"/>
      <c r="B73" s="108"/>
      <c r="C73" s="108"/>
      <c r="D73" s="108"/>
      <c r="E73" s="108"/>
      <c r="F73" s="109"/>
      <c r="G73" s="110"/>
      <c r="H73" s="111"/>
      <c r="I73" s="111"/>
      <c r="J73" s="108"/>
    </row>
    <row r="74" spans="1:10">
      <c r="A74" s="108"/>
      <c r="B74" s="108"/>
      <c r="C74" s="108"/>
      <c r="D74" s="108"/>
      <c r="E74" s="108"/>
      <c r="F74" s="109"/>
      <c r="G74" s="110"/>
      <c r="H74" s="111"/>
      <c r="I74" s="111"/>
      <c r="J74" s="108"/>
    </row>
    <row r="75" spans="1:10">
      <c r="A75" s="108"/>
      <c r="B75" s="108"/>
      <c r="C75" s="108"/>
      <c r="D75" s="108"/>
      <c r="E75" s="108"/>
      <c r="F75" s="109"/>
      <c r="G75" s="110"/>
      <c r="H75" s="111"/>
      <c r="I75" s="111"/>
      <c r="J75" s="108"/>
    </row>
    <row r="76" spans="1:10">
      <c r="A76" s="108"/>
      <c r="B76" s="108"/>
      <c r="C76" s="108"/>
      <c r="D76" s="108"/>
      <c r="E76" s="108"/>
      <c r="F76" s="109"/>
      <c r="G76" s="110"/>
      <c r="H76" s="111"/>
      <c r="I76" s="111"/>
      <c r="J76" s="108"/>
    </row>
    <row r="77" spans="1:10">
      <c r="A77" s="108"/>
      <c r="B77" s="108"/>
      <c r="C77" s="108"/>
      <c r="D77" s="108"/>
      <c r="E77" s="108"/>
      <c r="F77" s="109"/>
      <c r="G77" s="110"/>
      <c r="H77" s="111"/>
      <c r="I77" s="111"/>
      <c r="J77" s="108"/>
    </row>
    <row r="78" spans="1:10">
      <c r="A78" s="108"/>
      <c r="B78" s="108"/>
      <c r="C78" s="108"/>
      <c r="D78" s="108"/>
      <c r="E78" s="108"/>
      <c r="F78" s="109"/>
      <c r="G78" s="110"/>
      <c r="H78" s="111"/>
      <c r="I78" s="111"/>
      <c r="J78" s="108"/>
    </row>
    <row r="79" spans="1:10">
      <c r="A79" s="108"/>
      <c r="B79" s="108"/>
      <c r="C79" s="108"/>
      <c r="D79" s="108"/>
      <c r="E79" s="108"/>
      <c r="F79" s="109"/>
      <c r="G79" s="110"/>
      <c r="H79" s="111"/>
      <c r="I79" s="111"/>
      <c r="J79" s="108"/>
    </row>
    <row r="80" spans="1:10">
      <c r="A80" s="108"/>
      <c r="B80" s="108"/>
      <c r="C80" s="108"/>
      <c r="D80" s="108"/>
      <c r="E80" s="108"/>
      <c r="F80" s="109"/>
      <c r="G80" s="110"/>
      <c r="H80" s="111"/>
      <c r="I80" s="111"/>
      <c r="J80" s="108"/>
    </row>
    <row r="81" spans="1:10">
      <c r="A81" s="108"/>
      <c r="B81" s="108"/>
      <c r="C81" s="108"/>
      <c r="D81" s="108"/>
      <c r="E81" s="108"/>
      <c r="F81" s="109"/>
      <c r="G81" s="110"/>
      <c r="H81" s="111"/>
      <c r="I81" s="111"/>
      <c r="J81" s="108"/>
    </row>
    <row r="82" spans="1:10">
      <c r="A82" s="108"/>
      <c r="B82" s="108"/>
      <c r="C82" s="108"/>
      <c r="D82" s="108"/>
      <c r="E82" s="108"/>
      <c r="F82" s="109"/>
      <c r="G82" s="110"/>
      <c r="H82" s="111"/>
      <c r="I82" s="111"/>
      <c r="J82" s="108"/>
    </row>
    <row r="83" spans="1:10">
      <c r="A83" s="108"/>
      <c r="B83" s="108"/>
      <c r="C83" s="108"/>
      <c r="D83" s="108"/>
      <c r="E83" s="108"/>
      <c r="F83" s="109"/>
      <c r="G83" s="110"/>
      <c r="H83" s="111"/>
      <c r="I83" s="111"/>
      <c r="J83" s="108"/>
    </row>
    <row r="84" spans="1:10">
      <c r="A84" s="108"/>
      <c r="B84" s="108"/>
      <c r="C84" s="108"/>
      <c r="D84" s="108"/>
      <c r="E84" s="108"/>
      <c r="F84" s="109"/>
      <c r="G84" s="110"/>
      <c r="H84" s="111"/>
      <c r="I84" s="111"/>
      <c r="J84" s="108"/>
    </row>
    <row r="85" spans="1:10">
      <c r="A85" s="108"/>
      <c r="B85" s="108"/>
      <c r="C85" s="108"/>
      <c r="D85" s="108"/>
      <c r="E85" s="108"/>
      <c r="F85" s="109"/>
      <c r="G85" s="110"/>
      <c r="H85" s="111"/>
      <c r="I85" s="111"/>
      <c r="J85" s="108"/>
    </row>
    <row r="86" spans="1:10">
      <c r="A86" s="108"/>
      <c r="B86" s="108"/>
      <c r="C86" s="108"/>
      <c r="D86" s="108"/>
      <c r="E86" s="108"/>
      <c r="F86" s="109"/>
      <c r="G86" s="110"/>
      <c r="H86" s="111"/>
      <c r="I86" s="111"/>
      <c r="J86" s="108"/>
    </row>
    <row r="87" spans="1:10">
      <c r="A87" s="108"/>
      <c r="B87" s="108"/>
      <c r="C87" s="108"/>
      <c r="D87" s="108"/>
      <c r="E87" s="108"/>
      <c r="F87" s="109"/>
      <c r="G87" s="110"/>
      <c r="H87" s="111"/>
      <c r="I87" s="111"/>
      <c r="J87" s="108"/>
    </row>
    <row r="88" spans="1:10">
      <c r="A88" s="108"/>
      <c r="B88" s="108"/>
      <c r="C88" s="108"/>
      <c r="D88" s="108"/>
      <c r="E88" s="108"/>
      <c r="F88" s="109"/>
      <c r="G88" s="110"/>
      <c r="H88" s="111"/>
      <c r="I88" s="111"/>
      <c r="J88" s="108"/>
    </row>
    <row r="89" spans="1:10">
      <c r="A89" s="108"/>
      <c r="B89" s="108"/>
      <c r="C89" s="108"/>
      <c r="D89" s="108"/>
      <c r="E89" s="108"/>
      <c r="F89" s="109"/>
      <c r="G89" s="110"/>
      <c r="H89" s="111"/>
      <c r="I89" s="111"/>
      <c r="J89" s="108"/>
    </row>
    <row r="90" spans="1:10">
      <c r="A90" s="108"/>
      <c r="B90" s="108"/>
      <c r="C90" s="108"/>
      <c r="D90" s="108"/>
      <c r="E90" s="108"/>
      <c r="F90" s="109"/>
      <c r="G90" s="110"/>
      <c r="H90" s="111"/>
      <c r="I90" s="111"/>
      <c r="J90" s="108"/>
    </row>
    <row r="91" spans="1:10">
      <c r="A91" s="108"/>
      <c r="B91" s="108"/>
      <c r="C91" s="108"/>
      <c r="D91" s="108"/>
      <c r="E91" s="108"/>
      <c r="F91" s="109"/>
      <c r="G91" s="110"/>
      <c r="H91" s="111"/>
      <c r="I91" s="111"/>
      <c r="J91" s="108"/>
    </row>
    <row r="92" spans="1:10">
      <c r="A92" s="108"/>
      <c r="B92" s="108"/>
      <c r="C92" s="108"/>
      <c r="D92" s="108"/>
      <c r="E92" s="108"/>
      <c r="F92" s="109"/>
      <c r="G92" s="110"/>
      <c r="H92" s="111"/>
      <c r="I92" s="111"/>
      <c r="J92" s="108"/>
    </row>
    <row r="93" spans="1:10">
      <c r="A93" s="108"/>
      <c r="B93" s="108"/>
      <c r="C93" s="108"/>
      <c r="D93" s="108"/>
      <c r="E93" s="108"/>
      <c r="F93" s="109"/>
      <c r="G93" s="110"/>
      <c r="H93" s="111"/>
      <c r="I93" s="111"/>
      <c r="J93" s="108"/>
    </row>
    <row r="94" spans="1:10">
      <c r="A94" s="108"/>
      <c r="B94" s="108"/>
      <c r="C94" s="108"/>
      <c r="D94" s="108"/>
      <c r="E94" s="108"/>
      <c r="F94" s="109"/>
      <c r="G94" s="110"/>
      <c r="H94" s="111"/>
      <c r="I94" s="111"/>
      <c r="J94" s="108"/>
    </row>
    <row r="95" spans="1:10">
      <c r="A95" s="108"/>
      <c r="B95" s="108"/>
      <c r="C95" s="108"/>
      <c r="D95" s="108"/>
      <c r="E95" s="108"/>
      <c r="F95" s="109"/>
      <c r="G95" s="110"/>
      <c r="H95" s="111"/>
      <c r="I95" s="111"/>
      <c r="J95" s="108"/>
    </row>
    <row r="96" spans="1:10">
      <c r="A96" s="108"/>
      <c r="B96" s="108"/>
      <c r="C96" s="108"/>
      <c r="D96" s="108"/>
      <c r="E96" s="108"/>
      <c r="F96" s="109"/>
      <c r="G96" s="110"/>
      <c r="H96" s="111"/>
      <c r="I96" s="111"/>
      <c r="J96" s="108"/>
    </row>
    <row r="97" spans="1:10">
      <c r="A97" s="108"/>
      <c r="B97" s="108"/>
      <c r="C97" s="108"/>
      <c r="D97" s="108"/>
      <c r="E97" s="108"/>
      <c r="F97" s="109"/>
      <c r="G97" s="110"/>
      <c r="H97" s="111"/>
      <c r="I97" s="111"/>
      <c r="J97" s="108"/>
    </row>
    <row r="98" spans="1:10">
      <c r="A98" s="108"/>
      <c r="B98" s="108"/>
      <c r="C98" s="108"/>
      <c r="D98" s="108"/>
      <c r="E98" s="108"/>
      <c r="F98" s="109"/>
      <c r="G98" s="110"/>
      <c r="H98" s="111"/>
      <c r="I98" s="111"/>
      <c r="J98" s="108"/>
    </row>
    <row r="99" spans="1:10">
      <c r="A99" s="108"/>
      <c r="B99" s="108"/>
      <c r="C99" s="108"/>
      <c r="D99" s="108"/>
      <c r="E99" s="108"/>
      <c r="F99" s="109"/>
      <c r="G99" s="110"/>
      <c r="H99" s="111"/>
      <c r="I99" s="111"/>
      <c r="J99" s="108"/>
    </row>
    <row r="100" spans="1:10">
      <c r="A100" s="108"/>
      <c r="B100" s="108"/>
      <c r="C100" s="108"/>
      <c r="D100" s="108"/>
      <c r="E100" s="108"/>
      <c r="F100" s="109"/>
      <c r="G100" s="110"/>
      <c r="H100" s="111"/>
      <c r="I100" s="111"/>
      <c r="J100" s="108"/>
    </row>
    <row r="102" spans="1:10" ht="15.75">
      <c r="B102" s="59" t="s">
        <v>211</v>
      </c>
    </row>
    <row r="104" spans="1:10">
      <c r="B104" s="58" t="str">
        <f>B4</f>
        <v xml:space="preserve"> *** Replacement females purchased/raised outside of the lease ***</v>
      </c>
    </row>
    <row r="106" spans="1:10">
      <c r="B106" s="71"/>
      <c r="C106" s="71"/>
      <c r="D106" s="71"/>
      <c r="E106" s="71"/>
      <c r="F106" s="72" t="s">
        <v>95</v>
      </c>
      <c r="G106" s="73"/>
      <c r="H106" s="74"/>
      <c r="I106" s="74"/>
    </row>
    <row r="107" spans="1:10">
      <c r="B107" s="95" t="s">
        <v>48</v>
      </c>
      <c r="C107" s="95"/>
      <c r="D107" s="95"/>
      <c r="E107" s="95"/>
      <c r="F107" s="96" t="s">
        <v>97</v>
      </c>
      <c r="G107" s="97" t="s">
        <v>20</v>
      </c>
      <c r="H107" s="98" t="s">
        <v>95</v>
      </c>
      <c r="I107" s="98" t="s">
        <v>96</v>
      </c>
    </row>
    <row r="108" spans="1:10">
      <c r="B108" s="58" t="s">
        <v>98</v>
      </c>
      <c r="F108" s="58"/>
      <c r="G108" s="58"/>
      <c r="H108" s="58"/>
      <c r="I108" s="58"/>
    </row>
    <row r="109" spans="1:10">
      <c r="C109" s="58" t="s">
        <v>99</v>
      </c>
      <c r="F109" s="99">
        <f>IF(F9=-1,"shared",F9)</f>
        <v>0</v>
      </c>
      <c r="G109" s="61">
        <f>IF(F9=-1,0,+G9)</f>
        <v>330.5645833333333</v>
      </c>
      <c r="H109" s="61">
        <f>IF(F9=-1,0,G109*F109)</f>
        <v>0</v>
      </c>
      <c r="I109" s="61">
        <f>IF(F9=-1,0,(1-F109)*G109)</f>
        <v>330.5645833333333</v>
      </c>
    </row>
    <row r="110" spans="1:10">
      <c r="C110" s="58" t="s">
        <v>100</v>
      </c>
      <c r="F110" s="99">
        <f>IF(F10=-1,"shared",F10)</f>
        <v>0</v>
      </c>
      <c r="G110" s="61">
        <f>IF(F10=-1,0,+G10)</f>
        <v>17.779375000000002</v>
      </c>
      <c r="H110" s="61">
        <f>IF(F10=-1,0,G110*F110)</f>
        <v>0</v>
      </c>
      <c r="I110" s="61">
        <f>IF(F10=-1,0,(1-F110)*G110)</f>
        <v>17.779375000000002</v>
      </c>
    </row>
    <row r="111" spans="1:10">
      <c r="B111" s="58" t="s">
        <v>102</v>
      </c>
      <c r="F111" s="99"/>
      <c r="H111" s="61"/>
      <c r="I111" s="61"/>
    </row>
    <row r="112" spans="1:10">
      <c r="C112" s="58" t="s">
        <v>49</v>
      </c>
      <c r="F112" s="99">
        <f>IF(F12=-1,"shared",F12)</f>
        <v>1</v>
      </c>
      <c r="G112" s="61">
        <f>IF(F12=-1,0,+G12)</f>
        <v>25</v>
      </c>
      <c r="H112" s="61">
        <f>IF(F12=-1,0,G112*F112)</f>
        <v>25</v>
      </c>
      <c r="I112" s="61">
        <f>IF(F12=-1,0,(1-F112)*G112)</f>
        <v>0</v>
      </c>
    </row>
    <row r="113" spans="2:9">
      <c r="C113" s="58" t="s">
        <v>103</v>
      </c>
      <c r="F113" s="99">
        <f>IF(F13=-1,"shared",F13)</f>
        <v>1</v>
      </c>
      <c r="G113" s="61">
        <f>IF(F12=-1,0,+G13)</f>
        <v>13.5</v>
      </c>
      <c r="H113" s="61">
        <f>IF(F13=-1,0,G113*F113)</f>
        <v>13.5</v>
      </c>
      <c r="I113" s="61">
        <f>IF(F13=-1,0,(1-F113)*G113)</f>
        <v>0</v>
      </c>
    </row>
    <row r="114" spans="2:9">
      <c r="C114" s="58" t="s">
        <v>104</v>
      </c>
      <c r="F114" s="99">
        <f>IF(F14=-1,"shared",F14)</f>
        <v>1</v>
      </c>
      <c r="G114" s="61">
        <f>IF(F14=-1,0,+G14)</f>
        <v>20</v>
      </c>
      <c r="H114" s="61">
        <f>IF(F14=-1,0,G114*F114)</f>
        <v>20</v>
      </c>
      <c r="I114" s="61">
        <f>IF(F14=-1,0,(1-F114)*G114)</f>
        <v>0</v>
      </c>
    </row>
    <row r="115" spans="2:9">
      <c r="B115" s="58" t="s">
        <v>106</v>
      </c>
      <c r="F115" s="99"/>
      <c r="H115" s="61"/>
      <c r="I115" s="61"/>
    </row>
    <row r="116" spans="2:9">
      <c r="C116" s="58" t="s">
        <v>49</v>
      </c>
      <c r="F116" s="99">
        <f>IF(F16=-1,"shared",F16)</f>
        <v>1</v>
      </c>
      <c r="G116" s="61">
        <f>IF(F16=-1,0,+G16)</f>
        <v>8.5</v>
      </c>
      <c r="H116" s="61">
        <f>IF(F16=-1,0,G116*F116)</f>
        <v>8.5</v>
      </c>
      <c r="I116" s="61">
        <f>IF(F16=-1,0,(1-F116)*G116)</f>
        <v>0</v>
      </c>
    </row>
    <row r="117" spans="2:9">
      <c r="C117" s="58" t="s">
        <v>103</v>
      </c>
      <c r="F117" s="99">
        <f>IF(F17=-1,"shared",F17)</f>
        <v>1</v>
      </c>
      <c r="G117" s="61">
        <f>IF(F16=-1,0,+G17)</f>
        <v>6.8000000000000007</v>
      </c>
      <c r="H117" s="61">
        <f>IF(F17=-1,0,G117*F117)</f>
        <v>6.8000000000000007</v>
      </c>
      <c r="I117" s="61">
        <f>IF(F17=-1,0,(1-F117)*G117)</f>
        <v>0</v>
      </c>
    </row>
    <row r="118" spans="2:9">
      <c r="B118" s="95"/>
      <c r="C118" s="95" t="s">
        <v>104</v>
      </c>
      <c r="D118" s="95"/>
      <c r="E118" s="95"/>
      <c r="F118" s="100">
        <f>IF(F18=-1,"shared",F18)</f>
        <v>1</v>
      </c>
      <c r="G118" s="101">
        <f>IF(F18=-1,0,+G18)</f>
        <v>15</v>
      </c>
      <c r="H118" s="101">
        <f>IF(F18=-1,0,G118*F118)</f>
        <v>15</v>
      </c>
      <c r="I118" s="101">
        <f>IF(F18=-1,0,(1-F118)*G118)</f>
        <v>0</v>
      </c>
    </row>
    <row r="119" spans="2:9">
      <c r="F119" s="58"/>
      <c r="G119" s="58"/>
      <c r="H119" s="58"/>
      <c r="I119" s="58"/>
    </row>
    <row r="120" spans="2:9">
      <c r="F120" s="58"/>
      <c r="G120" s="58"/>
      <c r="H120" s="58"/>
      <c r="I120" s="58"/>
    </row>
    <row r="121" spans="2:9">
      <c r="B121" s="67"/>
      <c r="C121" s="67"/>
      <c r="D121" s="67"/>
      <c r="E121" s="67"/>
      <c r="F121" s="68"/>
      <c r="G121" s="69"/>
      <c r="H121" s="70"/>
      <c r="I121" s="70"/>
    </row>
    <row r="122" spans="2:9">
      <c r="B122" s="71" t="s">
        <v>48</v>
      </c>
      <c r="C122" s="71"/>
      <c r="D122" s="71"/>
      <c r="E122" s="71"/>
      <c r="F122" s="72" t="s">
        <v>95</v>
      </c>
      <c r="G122" s="85" t="s">
        <v>20</v>
      </c>
      <c r="H122" s="86" t="s">
        <v>95</v>
      </c>
      <c r="I122" s="86" t="s">
        <v>96</v>
      </c>
    </row>
    <row r="123" spans="2:9">
      <c r="B123" s="102"/>
      <c r="C123" s="102"/>
      <c r="D123" s="102"/>
      <c r="E123" s="102"/>
      <c r="F123" s="96" t="s">
        <v>108</v>
      </c>
      <c r="G123" s="103"/>
      <c r="H123" s="104"/>
      <c r="I123" s="104"/>
    </row>
    <row r="124" spans="2:9">
      <c r="B124" s="58" t="s">
        <v>109</v>
      </c>
      <c r="F124" s="99">
        <f t="shared" ref="F124:F136" si="2">IF(F24=-1,"shared",F24)</f>
        <v>1</v>
      </c>
      <c r="G124" s="61">
        <f t="shared" ref="G124:G136" si="3">IF(F24=-1,0,+G24)</f>
        <v>168.64399999999998</v>
      </c>
      <c r="H124" s="61">
        <f t="shared" ref="H124:H136" si="4">IF(F24=-1,0,G124*F124)</f>
        <v>168.64399999999998</v>
      </c>
      <c r="I124" s="61">
        <f t="shared" ref="I124:I136" si="5">IF(F24=-1,0,(1-F124)*G124)</f>
        <v>0</v>
      </c>
    </row>
    <row r="125" spans="2:9">
      <c r="B125" s="58" t="s">
        <v>110</v>
      </c>
      <c r="F125" s="99">
        <f t="shared" si="2"/>
        <v>1</v>
      </c>
      <c r="G125" s="61">
        <f t="shared" si="3"/>
        <v>219.6</v>
      </c>
      <c r="H125" s="61">
        <f t="shared" si="4"/>
        <v>219.6</v>
      </c>
      <c r="I125" s="61">
        <f t="shared" si="5"/>
        <v>0</v>
      </c>
    </row>
    <row r="126" spans="2:9">
      <c r="B126" s="58" t="s">
        <v>111</v>
      </c>
      <c r="F126" s="99">
        <f t="shared" si="2"/>
        <v>1</v>
      </c>
      <c r="G126" s="61">
        <f t="shared" si="3"/>
        <v>0</v>
      </c>
      <c r="H126" s="61">
        <f t="shared" si="4"/>
        <v>0</v>
      </c>
      <c r="I126" s="61">
        <f t="shared" si="5"/>
        <v>0</v>
      </c>
    </row>
    <row r="127" spans="2:9">
      <c r="B127" s="58" t="s">
        <v>112</v>
      </c>
      <c r="F127" s="99">
        <f t="shared" si="2"/>
        <v>1</v>
      </c>
      <c r="G127" s="61">
        <f t="shared" si="3"/>
        <v>27.762</v>
      </c>
      <c r="H127" s="61">
        <f t="shared" si="4"/>
        <v>27.762</v>
      </c>
      <c r="I127" s="61">
        <f t="shared" si="5"/>
        <v>0</v>
      </c>
    </row>
    <row r="128" spans="2:9">
      <c r="B128" s="58" t="s">
        <v>113</v>
      </c>
      <c r="F128" s="99">
        <f t="shared" si="2"/>
        <v>1</v>
      </c>
      <c r="G128" s="61">
        <f t="shared" si="3"/>
        <v>0</v>
      </c>
      <c r="H128" s="61">
        <f t="shared" si="4"/>
        <v>0</v>
      </c>
      <c r="I128" s="61">
        <f t="shared" si="5"/>
        <v>0</v>
      </c>
    </row>
    <row r="129" spans="2:9">
      <c r="B129" s="58" t="s">
        <v>114</v>
      </c>
      <c r="F129" s="99">
        <f t="shared" si="2"/>
        <v>1</v>
      </c>
      <c r="G129" s="61">
        <f t="shared" si="3"/>
        <v>15.96</v>
      </c>
      <c r="H129" s="61">
        <f t="shared" si="4"/>
        <v>15.96</v>
      </c>
      <c r="I129" s="61">
        <f t="shared" si="5"/>
        <v>0</v>
      </c>
    </row>
    <row r="130" spans="2:9">
      <c r="B130" s="58" t="s">
        <v>115</v>
      </c>
      <c r="F130" s="99">
        <f t="shared" si="2"/>
        <v>1</v>
      </c>
      <c r="G130" s="61">
        <f t="shared" si="3"/>
        <v>18</v>
      </c>
      <c r="H130" s="61">
        <f t="shared" si="4"/>
        <v>18</v>
      </c>
      <c r="I130" s="61">
        <f t="shared" si="5"/>
        <v>0</v>
      </c>
    </row>
    <row r="131" spans="2:9">
      <c r="B131" s="58" t="s">
        <v>116</v>
      </c>
      <c r="F131" s="99" t="str">
        <f t="shared" si="2"/>
        <v>shared</v>
      </c>
      <c r="G131" s="61">
        <f t="shared" si="3"/>
        <v>0</v>
      </c>
      <c r="H131" s="61">
        <f t="shared" si="4"/>
        <v>0</v>
      </c>
      <c r="I131" s="61">
        <f t="shared" si="5"/>
        <v>0</v>
      </c>
    </row>
    <row r="132" spans="2:9">
      <c r="B132" s="58" t="s">
        <v>117</v>
      </c>
      <c r="F132" s="99">
        <f t="shared" si="2"/>
        <v>1</v>
      </c>
      <c r="G132" s="61">
        <f t="shared" si="3"/>
        <v>28</v>
      </c>
      <c r="H132" s="61">
        <f t="shared" si="4"/>
        <v>28</v>
      </c>
      <c r="I132" s="61">
        <f t="shared" si="5"/>
        <v>0</v>
      </c>
    </row>
    <row r="133" spans="2:9">
      <c r="B133" s="58" t="s">
        <v>38</v>
      </c>
      <c r="F133" s="99">
        <f t="shared" si="2"/>
        <v>1</v>
      </c>
      <c r="G133" s="61">
        <f t="shared" si="3"/>
        <v>12</v>
      </c>
      <c r="H133" s="61">
        <f t="shared" si="4"/>
        <v>12</v>
      </c>
      <c r="I133" s="61">
        <f t="shared" si="5"/>
        <v>0</v>
      </c>
    </row>
    <row r="134" spans="2:9">
      <c r="B134" s="58" t="s">
        <v>118</v>
      </c>
      <c r="F134" s="99">
        <f t="shared" si="2"/>
        <v>1</v>
      </c>
      <c r="G134" s="61">
        <f t="shared" si="3"/>
        <v>76.7</v>
      </c>
      <c r="H134" s="61">
        <f t="shared" si="4"/>
        <v>76.7</v>
      </c>
      <c r="I134" s="61">
        <f t="shared" si="5"/>
        <v>0</v>
      </c>
    </row>
    <row r="135" spans="2:9">
      <c r="B135" s="58" t="s">
        <v>119</v>
      </c>
      <c r="D135" s="58" t="str">
        <f>General!E48</f>
        <v>Bull soundness exam</v>
      </c>
      <c r="F135" s="58">
        <f t="shared" si="2"/>
        <v>0</v>
      </c>
      <c r="G135" s="61">
        <f t="shared" si="3"/>
        <v>1.2</v>
      </c>
      <c r="H135" s="61">
        <f t="shared" si="4"/>
        <v>0</v>
      </c>
      <c r="I135" s="61">
        <f t="shared" si="5"/>
        <v>1.2</v>
      </c>
    </row>
    <row r="136" spans="2:9">
      <c r="B136" s="58" t="s">
        <v>119</v>
      </c>
      <c r="D136" s="58" t="str">
        <f>General!E49</f>
        <v>Misc and professional fees</v>
      </c>
      <c r="F136" s="58">
        <f t="shared" si="2"/>
        <v>0.75</v>
      </c>
      <c r="G136" s="61">
        <f t="shared" si="3"/>
        <v>20</v>
      </c>
      <c r="H136" s="61">
        <f t="shared" si="4"/>
        <v>15</v>
      </c>
      <c r="I136" s="61">
        <f t="shared" si="5"/>
        <v>5</v>
      </c>
    </row>
    <row r="137" spans="2:9">
      <c r="B137" s="58" t="s">
        <v>120</v>
      </c>
      <c r="F137" s="105" t="s">
        <v>121</v>
      </c>
      <c r="G137" s="61">
        <f>(SUM(G124:G136)+G114+G118)/2*General!K50</f>
        <v>20.243145000000002</v>
      </c>
      <c r="H137" s="61">
        <f>(SUM(H124:H136)+H114+H118)/2*General!K50</f>
        <v>20.041644999999999</v>
      </c>
      <c r="I137" s="61">
        <f>(SUM(I124:I136)+I114+I118)/2*General!K50</f>
        <v>0.20150000000000001</v>
      </c>
    </row>
    <row r="138" spans="2:9">
      <c r="B138" s="58" t="s">
        <v>123</v>
      </c>
      <c r="F138" s="99">
        <f>IF(F38=-1,"shared",F38)</f>
        <v>0.5</v>
      </c>
      <c r="G138" s="61">
        <f>IF(F38=-1,0,+G38)</f>
        <v>0</v>
      </c>
      <c r="H138" s="61">
        <f>IF(F38=-1,0,G138*F138)</f>
        <v>0</v>
      </c>
      <c r="I138" s="61">
        <f>IF(F38=-1,0,(1-F138)*G138)</f>
        <v>0</v>
      </c>
    </row>
    <row r="139" spans="2:9">
      <c r="F139" s="58"/>
      <c r="G139" s="61">
        <f>SUM(G109:G138)</f>
        <v>1045.2531033333335</v>
      </c>
      <c r="H139" s="61">
        <f>SUM(H109:H138)</f>
        <v>690.50764500000002</v>
      </c>
      <c r="I139" s="61">
        <f>SUM(I109:I138)</f>
        <v>354.74545833333332</v>
      </c>
    </row>
    <row r="140" spans="2:9" ht="15.75" thickBot="1">
      <c r="B140" s="106"/>
      <c r="C140" s="106"/>
      <c r="D140" s="106"/>
      <c r="E140" s="106"/>
      <c r="F140" s="106"/>
      <c r="G140" s="107">
        <f>G139/$G139</f>
        <v>1</v>
      </c>
      <c r="H140" s="107">
        <f>H139/$G139</f>
        <v>0.66061286285394138</v>
      </c>
      <c r="I140" s="107">
        <f>I139/$G139</f>
        <v>0.3393871371460585</v>
      </c>
    </row>
    <row r="141" spans="2:9" ht="15.75" thickTop="1">
      <c r="F141" s="58"/>
      <c r="G141" s="58"/>
      <c r="H141" s="58"/>
      <c r="I141" s="58"/>
    </row>
    <row r="142" spans="2:9">
      <c r="F142" s="58"/>
      <c r="G142" s="58"/>
      <c r="H142" s="58"/>
      <c r="I142" s="58"/>
    </row>
    <row r="143" spans="2:9">
      <c r="F143" s="58"/>
      <c r="G143" s="58"/>
      <c r="H143" s="58"/>
      <c r="I143" s="58"/>
    </row>
    <row r="144" spans="2:9">
      <c r="F144" s="58"/>
      <c r="G144" s="58"/>
      <c r="H144" s="58"/>
      <c r="I144" s="58"/>
    </row>
    <row r="145" spans="6:9">
      <c r="F145" s="58"/>
      <c r="G145" s="58"/>
      <c r="H145" s="58"/>
      <c r="I145" s="58"/>
    </row>
    <row r="146" spans="6:9">
      <c r="F146" s="58"/>
      <c r="G146" s="58"/>
      <c r="H146" s="58"/>
      <c r="I146" s="58"/>
    </row>
    <row r="147" spans="6:9">
      <c r="F147" s="58"/>
      <c r="G147" s="58"/>
      <c r="H147" s="58"/>
      <c r="I147" s="58"/>
    </row>
    <row r="148" spans="6:9">
      <c r="F148" s="58"/>
      <c r="G148" s="58"/>
      <c r="H148" s="58"/>
      <c r="I148" s="58"/>
    </row>
    <row r="149" spans="6:9">
      <c r="F149" s="58"/>
      <c r="G149" s="58"/>
      <c r="H149" s="58"/>
      <c r="I149" s="58"/>
    </row>
    <row r="150" spans="6:9">
      <c r="F150" s="58"/>
      <c r="G150" s="58"/>
      <c r="H150" s="58"/>
      <c r="I150" s="58"/>
    </row>
    <row r="151" spans="6:9">
      <c r="F151" s="58"/>
      <c r="G151" s="58"/>
      <c r="H151" s="58"/>
      <c r="I151" s="58"/>
    </row>
    <row r="152" spans="6:9">
      <c r="F152" s="58"/>
      <c r="G152" s="58"/>
      <c r="H152" s="58"/>
      <c r="I152" s="58"/>
    </row>
    <row r="153" spans="6:9">
      <c r="F153" s="58"/>
      <c r="G153" s="58"/>
      <c r="H153" s="58"/>
      <c r="I153" s="58"/>
    </row>
    <row r="154" spans="6:9">
      <c r="F154" s="58"/>
      <c r="G154" s="58"/>
      <c r="H154" s="58"/>
      <c r="I154" s="58"/>
    </row>
    <row r="155" spans="6:9">
      <c r="F155" s="58"/>
      <c r="G155" s="58"/>
      <c r="H155" s="58"/>
      <c r="I155" s="58"/>
    </row>
    <row r="156" spans="6:9">
      <c r="F156" s="58"/>
      <c r="G156" s="58"/>
      <c r="H156" s="58"/>
      <c r="I156" s="58"/>
    </row>
    <row r="157" spans="6:9">
      <c r="F157" s="58"/>
      <c r="G157" s="58"/>
      <c r="H157" s="58"/>
      <c r="I157" s="58"/>
    </row>
    <row r="158" spans="6:9">
      <c r="F158" s="58"/>
      <c r="G158" s="58"/>
      <c r="H158" s="58"/>
      <c r="I158" s="58"/>
    </row>
    <row r="159" spans="6:9">
      <c r="F159" s="58"/>
      <c r="G159" s="58"/>
      <c r="H159" s="58"/>
      <c r="I159" s="58"/>
    </row>
    <row r="160" spans="6:9">
      <c r="F160" s="58"/>
      <c r="G160" s="58"/>
      <c r="H160" s="58"/>
      <c r="I160" s="58"/>
    </row>
    <row r="161" spans="6:9">
      <c r="F161" s="58"/>
      <c r="G161" s="58"/>
      <c r="H161" s="58"/>
      <c r="I161" s="58"/>
    </row>
    <row r="162" spans="6:9">
      <c r="F162" s="58"/>
      <c r="G162" s="58"/>
      <c r="H162" s="58"/>
      <c r="I162" s="58"/>
    </row>
    <row r="163" spans="6:9">
      <c r="F163" s="58"/>
      <c r="G163" s="58"/>
      <c r="H163" s="58"/>
      <c r="I163" s="58"/>
    </row>
    <row r="164" spans="6:9">
      <c r="F164" s="58"/>
      <c r="G164" s="58"/>
      <c r="H164" s="58"/>
      <c r="I164" s="58"/>
    </row>
    <row r="165" spans="6:9">
      <c r="F165" s="58"/>
      <c r="G165" s="58"/>
      <c r="H165" s="58"/>
      <c r="I165" s="58"/>
    </row>
    <row r="166" spans="6:9">
      <c r="F166" s="58"/>
      <c r="G166" s="58"/>
      <c r="H166" s="58"/>
      <c r="I166" s="58"/>
    </row>
    <row r="167" spans="6:9">
      <c r="F167" s="58"/>
      <c r="G167" s="58"/>
      <c r="H167" s="58"/>
      <c r="I167" s="58"/>
    </row>
    <row r="168" spans="6:9">
      <c r="F168" s="58"/>
      <c r="G168" s="58"/>
      <c r="H168" s="58"/>
      <c r="I168" s="58"/>
    </row>
    <row r="169" spans="6:9">
      <c r="F169" s="58"/>
      <c r="G169" s="58"/>
      <c r="H169" s="58"/>
      <c r="I169" s="58"/>
    </row>
    <row r="170" spans="6:9">
      <c r="F170" s="58"/>
      <c r="G170" s="58"/>
      <c r="H170" s="58"/>
      <c r="I170" s="58"/>
    </row>
    <row r="171" spans="6:9">
      <c r="F171" s="58"/>
      <c r="G171" s="58"/>
      <c r="H171" s="58"/>
      <c r="I171" s="58"/>
    </row>
    <row r="172" spans="6:9">
      <c r="F172" s="58"/>
      <c r="G172" s="58"/>
      <c r="H172" s="58"/>
      <c r="I172" s="58"/>
    </row>
    <row r="173" spans="6:9">
      <c r="F173" s="58"/>
      <c r="G173" s="58"/>
      <c r="H173" s="58"/>
      <c r="I173" s="58"/>
    </row>
    <row r="174" spans="6:9">
      <c r="F174" s="58"/>
      <c r="G174" s="58"/>
      <c r="H174" s="58"/>
      <c r="I174" s="58"/>
    </row>
    <row r="175" spans="6:9">
      <c r="F175" s="58"/>
      <c r="G175" s="58"/>
      <c r="H175" s="58"/>
      <c r="I175" s="58"/>
    </row>
    <row r="176" spans="6:9">
      <c r="F176" s="58"/>
      <c r="G176" s="58"/>
      <c r="H176" s="58"/>
      <c r="I176" s="58"/>
    </row>
    <row r="177" spans="6:9">
      <c r="F177" s="58"/>
      <c r="G177" s="58"/>
      <c r="H177" s="58"/>
      <c r="I177" s="58"/>
    </row>
    <row r="178" spans="6:9">
      <c r="F178" s="58"/>
      <c r="G178" s="58"/>
      <c r="H178" s="58"/>
      <c r="I178" s="58"/>
    </row>
    <row r="179" spans="6:9">
      <c r="F179" s="58"/>
      <c r="G179" s="58"/>
      <c r="H179" s="58"/>
      <c r="I179" s="58"/>
    </row>
    <row r="180" spans="6:9">
      <c r="F180" s="58"/>
      <c r="G180" s="58"/>
      <c r="H180" s="58"/>
      <c r="I180" s="58"/>
    </row>
    <row r="181" spans="6:9">
      <c r="F181" s="58"/>
      <c r="G181" s="58"/>
      <c r="H181" s="58"/>
      <c r="I181" s="58"/>
    </row>
    <row r="182" spans="6:9">
      <c r="F182" s="58"/>
      <c r="G182" s="58"/>
      <c r="H182" s="58"/>
      <c r="I182" s="58"/>
    </row>
    <row r="183" spans="6:9">
      <c r="G183" s="62"/>
      <c r="I183" s="58"/>
    </row>
  </sheetData>
  <sheetProtection password="C4C7" sheet="1"/>
  <phoneticPr fontId="2" type="noConversion"/>
  <pageMargins left="0.75" right="0.75" top="0.75" bottom="0.75" header="0" footer="0"/>
  <pageSetup scale="24" orientation="portrait" r:id="rId1"/>
  <headerFooter alignWithMargins="0"/>
  <ignoredErrors>
    <ignoredError sqref="F26:F30"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showOutlineSymbols="0" zoomScaleNormal="100" workbookViewId="0"/>
  </sheetViews>
  <sheetFormatPr defaultColWidth="7.6640625" defaultRowHeight="15"/>
  <cols>
    <col min="1" max="1" width="6.77734375" style="108" customWidth="1"/>
    <col min="2" max="2" width="3.6640625" style="108" customWidth="1"/>
    <col min="3" max="7" width="9.6640625" style="108" customWidth="1"/>
    <col min="8" max="8" width="9.6640625" style="110" customWidth="1"/>
    <col min="9" max="16384" width="7.6640625" style="108"/>
  </cols>
  <sheetData>
    <row r="1" spans="1:9">
      <c r="A1" s="58"/>
      <c r="B1" s="58"/>
      <c r="C1" s="58"/>
      <c r="D1" s="58"/>
      <c r="E1" s="58"/>
      <c r="F1" s="58"/>
      <c r="G1" s="58"/>
      <c r="H1" s="61"/>
      <c r="I1" s="58"/>
    </row>
    <row r="2" spans="1:9" ht="15.75">
      <c r="A2" s="58"/>
      <c r="B2" s="59" t="s">
        <v>129</v>
      </c>
      <c r="C2" s="58"/>
      <c r="D2" s="58"/>
      <c r="E2" s="58"/>
      <c r="F2" s="58"/>
      <c r="G2" s="58"/>
      <c r="H2" s="61"/>
      <c r="I2" s="58"/>
    </row>
    <row r="3" spans="1:9">
      <c r="A3" s="58"/>
      <c r="B3" s="63"/>
      <c r="C3" s="63"/>
      <c r="D3" s="63"/>
      <c r="E3" s="63"/>
      <c r="F3" s="63"/>
      <c r="G3" s="63"/>
      <c r="H3" s="65"/>
      <c r="I3" s="58"/>
    </row>
    <row r="4" spans="1:9">
      <c r="A4" s="58"/>
      <c r="B4" s="88" t="s">
        <v>130</v>
      </c>
      <c r="C4" s="58"/>
      <c r="D4" s="58"/>
      <c r="E4" s="58"/>
      <c r="F4" s="58"/>
      <c r="G4" s="58"/>
      <c r="H4" s="61"/>
      <c r="I4" s="58"/>
    </row>
    <row r="5" spans="1:9">
      <c r="A5" s="58"/>
      <c r="B5" s="58"/>
      <c r="C5" s="58" t="s">
        <v>131</v>
      </c>
      <c r="D5" s="58"/>
      <c r="E5" s="58"/>
      <c r="F5" s="58"/>
      <c r="G5" s="58"/>
      <c r="H5" s="128">
        <f>'Sch A'!H12</f>
        <v>200.83333333333331</v>
      </c>
      <c r="I5" s="58"/>
    </row>
    <row r="6" spans="1:9">
      <c r="A6" s="58"/>
      <c r="B6" s="58"/>
      <c r="C6" s="58" t="s">
        <v>132</v>
      </c>
      <c r="D6" s="58"/>
      <c r="E6" s="58"/>
      <c r="F6" s="58"/>
      <c r="G6" s="58"/>
      <c r="H6" s="128">
        <f>SUM('Sch A'!I12:J12)</f>
        <v>114.00625000000001</v>
      </c>
      <c r="I6" s="58"/>
    </row>
    <row r="7" spans="1:9">
      <c r="A7" s="58"/>
      <c r="B7" s="58"/>
      <c r="C7" s="58" t="s">
        <v>133</v>
      </c>
      <c r="D7" s="58"/>
      <c r="E7" s="58"/>
      <c r="F7" s="58"/>
      <c r="G7" s="58"/>
      <c r="H7" s="128">
        <f>'Sch A'!K12</f>
        <v>15.725</v>
      </c>
      <c r="I7" s="58"/>
    </row>
    <row r="8" spans="1:9">
      <c r="A8" s="58"/>
      <c r="B8" s="58"/>
      <c r="C8" s="58" t="s">
        <v>134</v>
      </c>
      <c r="D8" s="58"/>
      <c r="E8" s="58"/>
      <c r="F8" s="58"/>
      <c r="G8" s="58"/>
      <c r="H8" s="128">
        <f>'Sch A'!H20</f>
        <v>10.375</v>
      </c>
      <c r="I8" s="58"/>
    </row>
    <row r="9" spans="1:9">
      <c r="A9" s="58"/>
      <c r="B9" s="58"/>
      <c r="C9" s="58" t="s">
        <v>135</v>
      </c>
      <c r="D9" s="58"/>
      <c r="E9" s="58"/>
      <c r="F9" s="58"/>
      <c r="G9" s="58"/>
      <c r="H9" s="128">
        <f>SUM('Sch A'!I20:J20)</f>
        <v>6.506875</v>
      </c>
      <c r="I9" s="58"/>
    </row>
    <row r="10" spans="1:9">
      <c r="A10" s="58"/>
      <c r="B10" s="58"/>
      <c r="C10" s="58" t="s">
        <v>136</v>
      </c>
      <c r="D10" s="58"/>
      <c r="E10" s="58"/>
      <c r="F10" s="58"/>
      <c r="G10" s="58"/>
      <c r="H10" s="128">
        <f>'Sch A'!K20</f>
        <v>0.89749999999999996</v>
      </c>
      <c r="I10" s="58"/>
    </row>
    <row r="11" spans="1:9">
      <c r="A11" s="58"/>
      <c r="B11" s="88" t="s">
        <v>137</v>
      </c>
      <c r="C11" s="88"/>
      <c r="D11" s="88"/>
      <c r="E11" s="88"/>
      <c r="F11" s="88"/>
      <c r="G11" s="88"/>
      <c r="H11" s="129">
        <f>SUM(H5:H10)</f>
        <v>348.34395833333332</v>
      </c>
      <c r="I11" s="58"/>
    </row>
    <row r="12" spans="1:9">
      <c r="A12" s="58"/>
      <c r="B12" s="67"/>
      <c r="C12" s="67"/>
      <c r="D12" s="67"/>
      <c r="E12" s="67"/>
      <c r="F12" s="67"/>
      <c r="G12" s="67"/>
      <c r="H12" s="128"/>
      <c r="I12" s="58"/>
    </row>
    <row r="13" spans="1:9">
      <c r="A13" s="58"/>
      <c r="B13" s="130" t="s">
        <v>138</v>
      </c>
      <c r="C13" s="71"/>
      <c r="D13" s="71"/>
      <c r="E13" s="71"/>
      <c r="F13" s="71"/>
      <c r="G13" s="71"/>
      <c r="H13" s="131"/>
      <c r="I13" s="58"/>
    </row>
    <row r="14" spans="1:9">
      <c r="A14" s="58"/>
      <c r="B14" s="58"/>
      <c r="C14" s="58" t="s">
        <v>90</v>
      </c>
      <c r="D14" s="58"/>
      <c r="E14" s="58"/>
      <c r="F14" s="58"/>
      <c r="G14" s="58"/>
      <c r="H14" s="128">
        <f>'Sch E'!H24</f>
        <v>774.84</v>
      </c>
      <c r="I14" s="58"/>
    </row>
    <row r="15" spans="1:9">
      <c r="A15" s="58"/>
      <c r="B15" s="58"/>
      <c r="C15" s="58" t="s">
        <v>139</v>
      </c>
      <c r="D15" s="58"/>
      <c r="E15" s="132">
        <f>'Wksht 1'!I49</f>
        <v>0.3393871371460585</v>
      </c>
      <c r="F15" s="58"/>
      <c r="G15" s="58"/>
      <c r="H15" s="128">
        <f>H14*E15</f>
        <v>262.97072934625197</v>
      </c>
      <c r="I15" s="58"/>
    </row>
    <row r="16" spans="1:9">
      <c r="A16" s="58"/>
      <c r="B16" s="58"/>
      <c r="C16" s="58" t="s">
        <v>140</v>
      </c>
      <c r="D16" s="58"/>
      <c r="E16" s="58"/>
      <c r="F16" s="58"/>
      <c r="G16" s="58"/>
      <c r="H16" s="128">
        <f>'Wksht 1'!I46</f>
        <v>7.0083443820661273</v>
      </c>
      <c r="I16" s="58"/>
    </row>
    <row r="17" spans="1:9">
      <c r="A17" s="58"/>
      <c r="B17" s="58"/>
      <c r="C17" s="58" t="s">
        <v>141</v>
      </c>
      <c r="D17" s="58"/>
      <c r="E17" s="58"/>
      <c r="F17" s="58"/>
      <c r="G17" s="58"/>
      <c r="H17" s="128">
        <f>H15-H16</f>
        <v>255.96238496418584</v>
      </c>
      <c r="I17" s="58"/>
    </row>
    <row r="18" spans="1:9">
      <c r="A18" s="58"/>
      <c r="B18" s="58"/>
      <c r="C18" s="58" t="s">
        <v>142</v>
      </c>
      <c r="D18" s="58"/>
      <c r="E18" s="57">
        <v>0.05</v>
      </c>
      <c r="F18" s="58"/>
      <c r="G18" s="58"/>
      <c r="H18" s="128">
        <f>H17*E18</f>
        <v>12.798119248209293</v>
      </c>
      <c r="I18" s="58"/>
    </row>
    <row r="19" spans="1:9">
      <c r="A19" s="58"/>
      <c r="B19" s="88" t="s">
        <v>137</v>
      </c>
      <c r="C19" s="88"/>
      <c r="D19" s="88"/>
      <c r="E19" s="88"/>
      <c r="F19" s="88"/>
      <c r="G19" s="88"/>
      <c r="H19" s="129">
        <f>H17-H18</f>
        <v>243.16426571597654</v>
      </c>
      <c r="I19" s="58"/>
    </row>
    <row r="20" spans="1:9">
      <c r="A20" s="58"/>
      <c r="B20" s="67"/>
      <c r="C20" s="67"/>
      <c r="D20" s="67"/>
      <c r="E20" s="67"/>
      <c r="F20" s="67"/>
      <c r="G20" s="67"/>
      <c r="H20" s="128"/>
      <c r="I20" s="58"/>
    </row>
    <row r="21" spans="1:9">
      <c r="A21" s="58"/>
      <c r="B21" s="130" t="s">
        <v>143</v>
      </c>
      <c r="C21" s="71"/>
      <c r="D21" s="71"/>
      <c r="E21" s="71"/>
      <c r="F21" s="71"/>
      <c r="G21" s="71"/>
      <c r="H21" s="131"/>
      <c r="I21" s="58"/>
    </row>
    <row r="22" spans="1:9">
      <c r="A22" s="58"/>
      <c r="B22" s="58"/>
      <c r="C22" s="58" t="s">
        <v>90</v>
      </c>
      <c r="D22" s="58"/>
      <c r="E22" s="58"/>
      <c r="F22" s="58"/>
      <c r="G22" s="58"/>
      <c r="H22" s="128">
        <f>'Sch E'!H24</f>
        <v>774.84</v>
      </c>
      <c r="I22" s="58"/>
    </row>
    <row r="23" spans="1:9">
      <c r="A23" s="58"/>
      <c r="B23" s="58"/>
      <c r="C23" s="58" t="s">
        <v>144</v>
      </c>
      <c r="D23" s="58"/>
      <c r="E23" s="58"/>
      <c r="F23" s="58"/>
      <c r="G23" s="58"/>
      <c r="H23" s="128"/>
      <c r="I23" s="58"/>
    </row>
    <row r="24" spans="1:9">
      <c r="A24" s="58"/>
      <c r="B24" s="58"/>
      <c r="C24" s="133" t="s">
        <v>102</v>
      </c>
      <c r="D24" s="58"/>
      <c r="E24" s="58"/>
      <c r="F24" s="58"/>
      <c r="G24" s="58"/>
      <c r="H24" s="128">
        <f>SUM('Wksht 1'!H12:H14)</f>
        <v>58.5</v>
      </c>
      <c r="I24" s="58"/>
    </row>
    <row r="25" spans="1:9">
      <c r="A25" s="58"/>
      <c r="B25" s="58"/>
      <c r="C25" s="133" t="s">
        <v>106</v>
      </c>
      <c r="D25" s="58"/>
      <c r="E25" s="58"/>
      <c r="F25" s="58"/>
      <c r="G25" s="58"/>
      <c r="H25" s="128">
        <f>SUM('Wksht 1'!H16:H18)</f>
        <v>30.3</v>
      </c>
      <c r="I25" s="58"/>
    </row>
    <row r="26" spans="1:9">
      <c r="A26" s="58"/>
      <c r="B26" s="58"/>
      <c r="C26" s="133" t="s">
        <v>109</v>
      </c>
      <c r="D26" s="58"/>
      <c r="E26" s="58"/>
      <c r="F26" s="58"/>
      <c r="G26" s="58"/>
      <c r="H26" s="128">
        <f>General!K29</f>
        <v>168.64399999999998</v>
      </c>
      <c r="I26" s="58"/>
    </row>
    <row r="27" spans="1:9">
      <c r="A27" s="58"/>
      <c r="B27" s="58"/>
      <c r="C27" s="133" t="s">
        <v>145</v>
      </c>
      <c r="D27" s="58"/>
      <c r="E27" s="58"/>
      <c r="F27" s="58"/>
      <c r="G27" s="58"/>
      <c r="H27" s="128">
        <f>General!K32+General!K33+General!K34</f>
        <v>247.36199999999999</v>
      </c>
      <c r="I27" s="58"/>
    </row>
    <row r="28" spans="1:9">
      <c r="A28" s="58"/>
      <c r="B28" s="58"/>
      <c r="C28" s="133" t="s">
        <v>146</v>
      </c>
      <c r="D28" s="58"/>
      <c r="E28" s="58"/>
      <c r="F28" s="58"/>
      <c r="G28" s="58"/>
      <c r="H28" s="128">
        <f>General!K35+General!K36+General!K37</f>
        <v>33.96</v>
      </c>
      <c r="I28" s="58"/>
    </row>
    <row r="29" spans="1:9">
      <c r="A29" s="58"/>
      <c r="B29" s="58"/>
      <c r="C29" s="133" t="s">
        <v>36</v>
      </c>
      <c r="D29" s="58"/>
      <c r="E29" s="58"/>
      <c r="F29" s="58"/>
      <c r="G29" s="58"/>
      <c r="H29" s="128">
        <f>General!K42</f>
        <v>20</v>
      </c>
      <c r="I29" s="58"/>
    </row>
    <row r="30" spans="1:9">
      <c r="A30" s="58"/>
      <c r="B30" s="58"/>
      <c r="C30" s="133" t="s">
        <v>37</v>
      </c>
      <c r="D30" s="58"/>
      <c r="E30" s="58"/>
      <c r="F30" s="58"/>
      <c r="G30" s="58"/>
      <c r="H30" s="128">
        <f>General!K43</f>
        <v>28</v>
      </c>
      <c r="I30" s="58"/>
    </row>
    <row r="31" spans="1:9">
      <c r="A31" s="58"/>
      <c r="B31" s="58"/>
      <c r="C31" s="133" t="s">
        <v>152</v>
      </c>
      <c r="D31" s="58"/>
      <c r="E31" s="58"/>
      <c r="F31" s="58"/>
      <c r="G31" s="58"/>
      <c r="H31" s="128">
        <f>General!K44</f>
        <v>12</v>
      </c>
      <c r="I31" s="58"/>
    </row>
    <row r="32" spans="1:9">
      <c r="A32" s="58"/>
      <c r="B32" s="58"/>
      <c r="C32" s="133" t="s">
        <v>118</v>
      </c>
      <c r="D32" s="58"/>
      <c r="E32" s="58"/>
      <c r="F32" s="58"/>
      <c r="G32" s="58"/>
      <c r="H32" s="128">
        <f>General!K47</f>
        <v>76.7</v>
      </c>
      <c r="I32" s="58"/>
    </row>
    <row r="33" spans="1:9">
      <c r="A33" s="58"/>
      <c r="B33" s="58"/>
      <c r="C33" s="133" t="s">
        <v>153</v>
      </c>
      <c r="D33" s="58" t="str">
        <f>General!E48</f>
        <v>Bull soundness exam</v>
      </c>
      <c r="E33" s="58"/>
      <c r="F33" s="58"/>
      <c r="G33" s="58"/>
      <c r="H33" s="128">
        <f>General!K48</f>
        <v>1.2</v>
      </c>
      <c r="I33" s="58"/>
    </row>
    <row r="34" spans="1:9">
      <c r="A34" s="58"/>
      <c r="B34" s="58"/>
      <c r="C34" s="133" t="s">
        <v>153</v>
      </c>
      <c r="D34" s="58" t="str">
        <f>General!E49</f>
        <v>Misc and professional fees</v>
      </c>
      <c r="E34" s="58"/>
      <c r="F34" s="58"/>
      <c r="G34" s="58"/>
      <c r="H34" s="128">
        <f>General!K49</f>
        <v>20</v>
      </c>
      <c r="I34" s="58"/>
    </row>
    <row r="35" spans="1:9">
      <c r="A35" s="58"/>
      <c r="B35" s="58"/>
      <c r="C35" s="133" t="s">
        <v>120</v>
      </c>
      <c r="D35" s="58"/>
      <c r="E35" s="58"/>
      <c r="F35" s="58"/>
      <c r="G35" s="58"/>
      <c r="H35" s="128">
        <f>(SUM(H26:H32)+'Wksht 1'!H14+'Wksht 1'!H18)*General!K50</f>
        <v>40.408290000000001</v>
      </c>
      <c r="I35" s="58"/>
    </row>
    <row r="36" spans="1:9">
      <c r="A36" s="58"/>
      <c r="B36" s="58"/>
      <c r="C36" s="133" t="s">
        <v>147</v>
      </c>
      <c r="D36" s="58"/>
      <c r="E36" s="58"/>
      <c r="F36" s="58"/>
      <c r="G36" s="58"/>
      <c r="H36" s="128">
        <f>'Wksht 1'!G38</f>
        <v>0</v>
      </c>
      <c r="I36" s="58"/>
    </row>
    <row r="37" spans="1:9">
      <c r="A37" s="58"/>
      <c r="B37" s="58"/>
      <c r="C37" s="58" t="s">
        <v>126</v>
      </c>
      <c r="D37" s="58"/>
      <c r="E37" s="58"/>
      <c r="F37" s="58"/>
      <c r="G37" s="58"/>
      <c r="H37" s="128">
        <f>SUM(H24:H36)</f>
        <v>737.07429000000002</v>
      </c>
      <c r="I37" s="58"/>
    </row>
    <row r="38" spans="1:9">
      <c r="A38" s="58"/>
      <c r="B38" s="58"/>
      <c r="C38" s="58"/>
      <c r="D38" s="58"/>
      <c r="E38" s="58"/>
      <c r="F38" s="58"/>
      <c r="G38" s="58"/>
      <c r="H38" s="128"/>
      <c r="I38" s="58"/>
    </row>
    <row r="39" spans="1:9">
      <c r="A39" s="58"/>
      <c r="B39" s="88" t="s">
        <v>148</v>
      </c>
      <c r="C39" s="88"/>
      <c r="D39" s="88"/>
      <c r="E39" s="88"/>
      <c r="F39" s="88"/>
      <c r="G39" s="88"/>
      <c r="H39" s="129">
        <f>H22-H37</f>
        <v>37.765710000000013</v>
      </c>
      <c r="I39" s="58"/>
    </row>
    <row r="40" spans="1:9">
      <c r="A40" s="58"/>
      <c r="B40" s="67"/>
      <c r="C40" s="67"/>
      <c r="D40" s="67"/>
      <c r="E40" s="67"/>
      <c r="F40" s="67"/>
      <c r="G40" s="67"/>
      <c r="H40" s="128"/>
      <c r="I40" s="58"/>
    </row>
    <row r="41" spans="1:9">
      <c r="A41" s="58"/>
      <c r="B41" s="91"/>
      <c r="C41" s="91"/>
      <c r="D41" s="91"/>
      <c r="E41" s="91"/>
      <c r="F41" s="91"/>
      <c r="G41" s="91"/>
      <c r="H41" s="134"/>
      <c r="I41" s="58"/>
    </row>
    <row r="42" spans="1:9">
      <c r="A42" s="58"/>
      <c r="B42" s="58"/>
      <c r="C42" s="58"/>
      <c r="D42" s="58"/>
      <c r="E42" s="58"/>
      <c r="F42" s="58"/>
      <c r="G42" s="58"/>
      <c r="H42" s="128"/>
      <c r="I42" s="58"/>
    </row>
    <row r="43" spans="1:9">
      <c r="A43" s="58"/>
      <c r="B43" s="88" t="s">
        <v>149</v>
      </c>
      <c r="C43" s="58"/>
      <c r="D43" s="58"/>
      <c r="E43" s="58"/>
      <c r="F43" s="58"/>
      <c r="G43" s="58"/>
      <c r="H43" s="128"/>
      <c r="I43" s="58"/>
    </row>
    <row r="44" spans="1:9">
      <c r="A44" s="58"/>
      <c r="B44" s="63"/>
      <c r="C44" s="63"/>
      <c r="D44" s="63"/>
      <c r="E44" s="63"/>
      <c r="F44" s="63"/>
      <c r="G44" s="63"/>
      <c r="H44" s="134"/>
      <c r="I44" s="58"/>
    </row>
    <row r="45" spans="1:9">
      <c r="A45" s="58"/>
      <c r="B45" s="58" t="s">
        <v>130</v>
      </c>
      <c r="C45" s="58"/>
      <c r="D45" s="58"/>
      <c r="E45" s="58"/>
      <c r="F45" s="58"/>
      <c r="G45" s="58"/>
      <c r="H45" s="128">
        <f>H11</f>
        <v>348.34395833333332</v>
      </c>
      <c r="I45" s="58"/>
    </row>
    <row r="46" spans="1:9">
      <c r="A46" s="58"/>
      <c r="B46" s="58"/>
      <c r="C46" s="58"/>
      <c r="D46" s="58"/>
      <c r="E46" s="58"/>
      <c r="F46" s="58"/>
      <c r="G46" s="58"/>
      <c r="H46" s="128"/>
      <c r="I46" s="58"/>
    </row>
    <row r="47" spans="1:9">
      <c r="A47" s="58"/>
      <c r="B47" s="58" t="s">
        <v>138</v>
      </c>
      <c r="C47" s="58"/>
      <c r="D47" s="58"/>
      <c r="E47" s="58"/>
      <c r="F47" s="58"/>
      <c r="G47" s="58"/>
      <c r="H47" s="128">
        <f>H19</f>
        <v>243.16426571597654</v>
      </c>
      <c r="I47" s="58"/>
    </row>
    <row r="48" spans="1:9">
      <c r="A48" s="58"/>
      <c r="B48" s="58"/>
      <c r="C48" s="58"/>
      <c r="D48" s="58"/>
      <c r="E48" s="58"/>
      <c r="F48" s="58"/>
      <c r="G48" s="58"/>
      <c r="H48" s="128"/>
      <c r="I48" s="58"/>
    </row>
    <row r="49" spans="1:9">
      <c r="A49" s="58"/>
      <c r="B49" s="58" t="s">
        <v>143</v>
      </c>
      <c r="C49" s="58"/>
      <c r="D49" s="58"/>
      <c r="E49" s="58"/>
      <c r="F49" s="58"/>
      <c r="G49" s="58"/>
      <c r="H49" s="128">
        <f>H39</f>
        <v>37.765710000000013</v>
      </c>
      <c r="I49" s="58"/>
    </row>
    <row r="50" spans="1:9">
      <c r="A50" s="58"/>
      <c r="B50" s="58"/>
      <c r="C50" s="58"/>
      <c r="D50" s="58"/>
      <c r="E50" s="58"/>
      <c r="F50" s="58"/>
      <c r="G50" s="58"/>
      <c r="H50" s="128"/>
      <c r="I50" s="58"/>
    </row>
    <row r="51" spans="1:9">
      <c r="A51" s="58"/>
      <c r="B51" s="58" t="s">
        <v>150</v>
      </c>
      <c r="C51" s="58"/>
      <c r="D51" s="58"/>
      <c r="E51" s="58"/>
      <c r="F51" s="58"/>
      <c r="G51" s="58"/>
      <c r="H51" s="128">
        <f>AVERAGE(H45:H49)</f>
        <v>209.75797801643662</v>
      </c>
      <c r="I51" s="58"/>
    </row>
    <row r="52" spans="1:9">
      <c r="A52" s="58"/>
      <c r="B52" s="67"/>
      <c r="C52" s="67"/>
      <c r="D52" s="67"/>
      <c r="E52" s="67"/>
      <c r="F52" s="67"/>
      <c r="G52" s="67"/>
      <c r="H52" s="128"/>
      <c r="I52" s="58"/>
    </row>
    <row r="53" spans="1:9">
      <c r="A53" s="58"/>
      <c r="B53" s="91"/>
      <c r="C53" s="91"/>
      <c r="D53" s="91"/>
      <c r="E53" s="91"/>
      <c r="F53" s="91"/>
      <c r="G53" s="91"/>
      <c r="H53" s="93"/>
      <c r="I53" s="58"/>
    </row>
    <row r="54" spans="1:9">
      <c r="A54" s="58"/>
      <c r="B54" s="58"/>
      <c r="C54" s="58"/>
      <c r="D54" s="58"/>
      <c r="E54" s="58"/>
      <c r="F54" s="58"/>
      <c r="G54" s="58"/>
      <c r="H54" s="61"/>
      <c r="I54" s="58"/>
    </row>
  </sheetData>
  <sheetProtection password="C4C7" sheet="1"/>
  <phoneticPr fontId="2" type="noConversion"/>
  <pageMargins left="0.75" right="0.5" top="0.6" bottom="0.66666666666666663" header="0" footer="0"/>
  <pageSetup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vt:lpstr>
      <vt:lpstr>General</vt:lpstr>
      <vt:lpstr>Sch A</vt:lpstr>
      <vt:lpstr>Sch B &amp; C</vt:lpstr>
      <vt:lpstr>Sch D</vt:lpstr>
      <vt:lpstr>Sch E</vt:lpstr>
      <vt:lpstr>Wksht 1</vt:lpstr>
      <vt:lpstr>Wksht 2</vt:lpstr>
      <vt:lpst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kdhuyvet</dc:creator>
  <cp:keywords/>
  <dc:description>Deleted all macros in this version</dc:description>
  <cp:lastModifiedBy>Jeffery K Reisdorfer</cp:lastModifiedBy>
  <cp:lastPrinted>2013-01-20T18:54:46Z</cp:lastPrinted>
  <dcterms:created xsi:type="dcterms:W3CDTF">1999-10-28T19:16:18Z</dcterms:created>
  <dcterms:modified xsi:type="dcterms:W3CDTF">2020-10-23T17:39:26Z</dcterms:modified>
</cp:coreProperties>
</file>